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ämäTyökirja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03108792\Work Folders\Nettipäivitykset\Suoritepäätösten valmistelu\"/>
    </mc:Choice>
  </mc:AlternateContent>
  <bookViews>
    <workbookView xWindow="0" yWindow="0" windowWidth="7425" windowHeight="0" tabRatio="652"/>
  </bookViews>
  <sheets>
    <sheet name="OHJEET" sheetId="53" r:id="rId1"/>
    <sheet name="1.1 Jakotaulu" sheetId="18" r:id="rId2"/>
    <sheet name="1.2 Ohjaus-laskentataulu" sheetId="17" r:id="rId3"/>
    <sheet name="1.3 Vertailulukuja" sheetId="24" r:id="rId4"/>
    <sheet name="1.4 Maakuntalukuja" sheetId="25" r:id="rId5"/>
    <sheet name="2.1 Toteut. op.vuodet" sheetId="5" r:id="rId6"/>
    <sheet name="2.2 Tutk. ja osien pain. pist." sheetId="27" r:id="rId7"/>
    <sheet name="2.3 Työll. ja jatko-opisk." sheetId="3" r:id="rId8"/>
    <sheet name="2.4 Aloittaneet palaute" sheetId="1" r:id="rId9"/>
    <sheet name="2.5 Päättäneet palaute" sheetId="2" r:id="rId10"/>
    <sheet name="Suoritepäätös 2019" sheetId="13" state="hidden" r:id="rId11"/>
    <sheet name="Suoritepäätös 2020" sheetId="51" state="hidden" r:id="rId12"/>
  </sheets>
  <externalReferences>
    <externalReference r:id="rId13"/>
  </externalReferences>
  <definedNames>
    <definedName name="_xlnm._FilterDatabase" localSheetId="2" hidden="1">'1.2 Ohjaus-laskentataulu'!$C$6:$C$154</definedName>
    <definedName name="_xlnm._FilterDatabase" localSheetId="4" hidden="1">'1.4 Maakuntalukuja'!$F$6:$F$23</definedName>
    <definedName name="FuusiotKpl">[1]Fuusiot!$C$1</definedName>
    <definedName name="_xlnm.Print_Area" localSheetId="11">'Suoritepäätös 2020'!$A$5:$AC$164</definedName>
    <definedName name="_xlnm.Print_Titles" localSheetId="11">'Suoritepäätös 2020'!$5:$7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24" l="1"/>
  <c r="P45" i="24"/>
  <c r="T45" i="24"/>
  <c r="X45" i="24"/>
  <c r="AB45" i="24"/>
  <c r="AF45" i="24"/>
  <c r="I62" i="17"/>
  <c r="J8" i="18"/>
  <c r="K9" i="18" s="1"/>
  <c r="J7" i="18" l="1"/>
  <c r="J20" i="18" s="1"/>
  <c r="J19" i="18" l="1"/>
  <c r="AF6" i="24" l="1"/>
  <c r="AF7" i="24"/>
  <c r="AF8" i="24"/>
  <c r="AF9" i="24"/>
  <c r="AF10" i="24"/>
  <c r="AF11" i="24"/>
  <c r="AF12" i="24"/>
  <c r="AF13" i="24"/>
  <c r="AF14" i="24"/>
  <c r="AF15" i="24"/>
  <c r="AF16" i="24"/>
  <c r="AF17" i="24"/>
  <c r="AF18" i="24"/>
  <c r="AF19" i="24"/>
  <c r="AF20" i="24"/>
  <c r="AF21" i="24"/>
  <c r="AF22" i="24"/>
  <c r="AF23" i="24"/>
  <c r="AF24" i="24"/>
  <c r="AF25" i="24"/>
  <c r="AF26" i="24"/>
  <c r="AF27" i="24"/>
  <c r="AF28" i="24"/>
  <c r="AF29" i="24"/>
  <c r="AF30" i="24"/>
  <c r="AF31" i="24"/>
  <c r="AF32" i="24"/>
  <c r="AF33" i="24"/>
  <c r="AF34" i="24"/>
  <c r="AF35" i="24"/>
  <c r="AF36" i="24"/>
  <c r="AF37" i="24"/>
  <c r="AF38" i="24"/>
  <c r="AF39" i="24"/>
  <c r="AF40" i="24"/>
  <c r="AF41" i="24"/>
  <c r="AF42" i="24"/>
  <c r="AF43" i="24"/>
  <c r="AF44" i="24"/>
  <c r="AF46" i="24"/>
  <c r="AF47" i="24"/>
  <c r="AF48" i="24"/>
  <c r="AF49" i="24"/>
  <c r="AF50" i="24"/>
  <c r="AF85" i="24"/>
  <c r="AF51" i="24"/>
  <c r="AF52" i="24"/>
  <c r="AF53" i="24"/>
  <c r="AF54" i="24"/>
  <c r="AF55" i="24"/>
  <c r="AF56" i="24"/>
  <c r="AF57" i="24"/>
  <c r="AF58" i="24"/>
  <c r="AF59" i="24"/>
  <c r="AF60" i="24"/>
  <c r="AF61" i="24"/>
  <c r="AF62" i="24"/>
  <c r="AF63" i="24"/>
  <c r="AF64" i="24"/>
  <c r="AF65" i="24"/>
  <c r="AF67" i="24"/>
  <c r="AF68" i="24"/>
  <c r="AF69" i="24"/>
  <c r="AF70" i="24"/>
  <c r="AF71" i="24"/>
  <c r="AF72" i="24"/>
  <c r="AF73" i="24"/>
  <c r="AF74" i="24"/>
  <c r="AF75" i="24"/>
  <c r="AF76" i="24"/>
  <c r="AF77" i="24"/>
  <c r="AF78" i="24"/>
  <c r="AF79" i="24"/>
  <c r="AF80" i="24"/>
  <c r="AF81" i="24"/>
  <c r="AF82" i="24"/>
  <c r="AF83" i="24"/>
  <c r="AF84" i="24"/>
  <c r="AF86" i="24"/>
  <c r="AF87" i="24"/>
  <c r="AF88" i="24"/>
  <c r="AF89" i="24"/>
  <c r="AF90" i="24"/>
  <c r="AF66" i="24"/>
  <c r="AF91" i="24"/>
  <c r="AF92" i="24"/>
  <c r="AF93" i="24"/>
  <c r="AF94" i="24"/>
  <c r="AF95" i="24"/>
  <c r="AF96" i="24"/>
  <c r="AF97" i="24"/>
  <c r="AF98" i="24"/>
  <c r="AF99" i="24"/>
  <c r="AF100" i="24"/>
  <c r="AF101" i="24"/>
  <c r="AF102" i="24"/>
  <c r="AF103" i="24"/>
  <c r="AF104" i="24"/>
  <c r="AF105" i="24"/>
  <c r="AF106" i="24"/>
  <c r="AF107" i="24"/>
  <c r="AF108" i="24"/>
  <c r="AF109" i="24"/>
  <c r="AF110" i="24"/>
  <c r="AF111" i="24"/>
  <c r="AF112" i="24"/>
  <c r="AF113" i="24"/>
  <c r="AF114" i="24"/>
  <c r="AF115" i="24"/>
  <c r="AF116" i="24"/>
  <c r="AF117" i="24"/>
  <c r="AF118" i="24"/>
  <c r="AF119" i="24"/>
  <c r="AF120" i="24"/>
  <c r="AF121" i="24"/>
  <c r="AF122" i="24"/>
  <c r="AF123" i="24"/>
  <c r="AF124" i="24"/>
  <c r="AF125" i="24"/>
  <c r="AF126" i="24"/>
  <c r="AF127" i="24"/>
  <c r="AF128" i="24"/>
  <c r="AF129" i="24"/>
  <c r="AF130" i="24"/>
  <c r="AF131" i="24"/>
  <c r="AF132" i="24"/>
  <c r="AF133" i="24"/>
  <c r="AF134" i="24"/>
  <c r="AF135" i="24"/>
  <c r="AF136" i="24"/>
  <c r="AF137" i="24"/>
  <c r="AF138" i="24"/>
  <c r="AF139" i="24"/>
  <c r="AF140" i="24"/>
  <c r="AF141" i="24"/>
  <c r="AF142" i="24"/>
  <c r="AF143" i="24"/>
  <c r="AF144" i="24"/>
  <c r="AF145" i="24"/>
  <c r="AF146" i="24"/>
  <c r="AF147" i="24"/>
  <c r="AF148" i="24"/>
  <c r="AF149" i="24"/>
  <c r="AF150" i="24"/>
  <c r="AF151" i="24"/>
  <c r="AF152" i="24"/>
  <c r="AF153" i="24"/>
  <c r="AF154" i="24"/>
  <c r="AB6" i="24"/>
  <c r="AB7" i="24"/>
  <c r="AB8" i="24"/>
  <c r="AB9" i="24"/>
  <c r="AB10" i="24"/>
  <c r="AB11" i="24"/>
  <c r="AB12" i="24"/>
  <c r="AB13" i="24"/>
  <c r="AB14" i="24"/>
  <c r="AB15" i="24"/>
  <c r="AB16" i="24"/>
  <c r="AB17" i="24"/>
  <c r="AB18" i="24"/>
  <c r="AB19" i="24"/>
  <c r="AB20" i="24"/>
  <c r="AB21" i="24"/>
  <c r="AB22" i="24"/>
  <c r="AB23" i="24"/>
  <c r="AB24" i="24"/>
  <c r="AB25" i="24"/>
  <c r="AB26" i="24"/>
  <c r="AB27" i="24"/>
  <c r="AB28" i="24"/>
  <c r="AB29" i="24"/>
  <c r="AB30" i="24"/>
  <c r="AB31" i="24"/>
  <c r="AB32" i="24"/>
  <c r="AB33" i="24"/>
  <c r="AB34" i="24"/>
  <c r="AB35" i="24"/>
  <c r="AB36" i="24"/>
  <c r="AB37" i="24"/>
  <c r="AB38" i="24"/>
  <c r="AB39" i="24"/>
  <c r="AB40" i="24"/>
  <c r="AB41" i="24"/>
  <c r="AB42" i="24"/>
  <c r="AB43" i="24"/>
  <c r="AB44" i="24"/>
  <c r="AB46" i="24"/>
  <c r="AB47" i="24"/>
  <c r="AB48" i="24"/>
  <c r="AB49" i="24"/>
  <c r="AB50" i="24"/>
  <c r="AB85" i="24"/>
  <c r="AB51" i="24"/>
  <c r="AB52" i="24"/>
  <c r="AB53" i="24"/>
  <c r="AB54" i="24"/>
  <c r="AB55" i="24"/>
  <c r="AB56" i="24"/>
  <c r="AB57" i="24"/>
  <c r="AB58" i="24"/>
  <c r="AB59" i="24"/>
  <c r="AB60" i="24"/>
  <c r="AB61" i="24"/>
  <c r="AB62" i="24"/>
  <c r="AB63" i="24"/>
  <c r="AB64" i="24"/>
  <c r="AB65" i="24"/>
  <c r="AB67" i="24"/>
  <c r="AB68" i="24"/>
  <c r="AB69" i="24"/>
  <c r="AB70" i="24"/>
  <c r="AB71" i="24"/>
  <c r="AB72" i="24"/>
  <c r="AB73" i="24"/>
  <c r="AB74" i="24"/>
  <c r="AB75" i="24"/>
  <c r="AB76" i="24"/>
  <c r="AB77" i="24"/>
  <c r="AB78" i="24"/>
  <c r="AB79" i="24"/>
  <c r="AB80" i="24"/>
  <c r="AB81" i="24"/>
  <c r="AB82" i="24"/>
  <c r="AB83" i="24"/>
  <c r="AB84" i="24"/>
  <c r="AB86" i="24"/>
  <c r="AB87" i="24"/>
  <c r="AB88" i="24"/>
  <c r="AB89" i="24"/>
  <c r="AB90" i="24"/>
  <c r="AB66" i="24"/>
  <c r="AB91" i="24"/>
  <c r="AB92" i="24"/>
  <c r="AB93" i="24"/>
  <c r="AB94" i="24"/>
  <c r="AB95" i="24"/>
  <c r="AB96" i="24"/>
  <c r="AB97" i="24"/>
  <c r="AB98" i="24"/>
  <c r="AB99" i="24"/>
  <c r="AB100" i="24"/>
  <c r="AB101" i="24"/>
  <c r="AB102" i="24"/>
  <c r="AB103" i="24"/>
  <c r="AB104" i="24"/>
  <c r="AB105" i="24"/>
  <c r="AB106" i="24"/>
  <c r="AB107" i="24"/>
  <c r="AB108" i="24"/>
  <c r="AB109" i="24"/>
  <c r="AB110" i="24"/>
  <c r="AB111" i="24"/>
  <c r="AB112" i="24"/>
  <c r="AB113" i="24"/>
  <c r="AB114" i="24"/>
  <c r="AB115" i="24"/>
  <c r="AB116" i="24"/>
  <c r="AB117" i="24"/>
  <c r="AB118" i="24"/>
  <c r="AB119" i="24"/>
  <c r="AB120" i="24"/>
  <c r="AB121" i="24"/>
  <c r="AB122" i="24"/>
  <c r="AB123" i="24"/>
  <c r="AB124" i="24"/>
  <c r="AB125" i="24"/>
  <c r="AB126" i="24"/>
  <c r="AB127" i="24"/>
  <c r="AB128" i="24"/>
  <c r="AB129" i="24"/>
  <c r="AB130" i="24"/>
  <c r="AB131" i="24"/>
  <c r="AB132" i="24"/>
  <c r="AB133" i="24"/>
  <c r="AB134" i="24"/>
  <c r="AB135" i="24"/>
  <c r="AB136" i="24"/>
  <c r="AB137" i="24"/>
  <c r="AB138" i="24"/>
  <c r="AB139" i="24"/>
  <c r="AB140" i="24"/>
  <c r="AB141" i="24"/>
  <c r="AB142" i="24"/>
  <c r="AB143" i="24"/>
  <c r="AB144" i="24"/>
  <c r="AB145" i="24"/>
  <c r="AB146" i="24"/>
  <c r="AB147" i="24"/>
  <c r="AB148" i="24"/>
  <c r="AB149" i="24"/>
  <c r="AB150" i="24"/>
  <c r="AB151" i="24"/>
  <c r="AB152" i="24"/>
  <c r="AB153" i="24"/>
  <c r="AB154" i="24"/>
  <c r="X6" i="24"/>
  <c r="X7" i="24"/>
  <c r="X8" i="24"/>
  <c r="X9" i="24"/>
  <c r="X10" i="24"/>
  <c r="X11" i="24"/>
  <c r="X12" i="24"/>
  <c r="X13" i="24"/>
  <c r="X14" i="24"/>
  <c r="X15" i="24"/>
  <c r="X16" i="24"/>
  <c r="X17" i="24"/>
  <c r="X18" i="24"/>
  <c r="X19" i="24"/>
  <c r="X20" i="24"/>
  <c r="X21" i="24"/>
  <c r="X22" i="24"/>
  <c r="X23" i="24"/>
  <c r="X24" i="24"/>
  <c r="X25" i="24"/>
  <c r="X26" i="24"/>
  <c r="X27" i="24"/>
  <c r="X28" i="24"/>
  <c r="X29" i="24"/>
  <c r="X30" i="24"/>
  <c r="X31" i="24"/>
  <c r="X32" i="24"/>
  <c r="X33" i="24"/>
  <c r="X34" i="24"/>
  <c r="X35" i="24"/>
  <c r="X36" i="24"/>
  <c r="X37" i="24"/>
  <c r="X38" i="24"/>
  <c r="X39" i="24"/>
  <c r="X40" i="24"/>
  <c r="X41" i="24"/>
  <c r="X42" i="24"/>
  <c r="X43" i="24"/>
  <c r="X44" i="24"/>
  <c r="X46" i="24"/>
  <c r="X47" i="24"/>
  <c r="X48" i="24"/>
  <c r="X49" i="24"/>
  <c r="X50" i="24"/>
  <c r="X85" i="24"/>
  <c r="X51" i="24"/>
  <c r="X52" i="24"/>
  <c r="X53" i="24"/>
  <c r="X54" i="24"/>
  <c r="X55" i="24"/>
  <c r="X56" i="24"/>
  <c r="X57" i="24"/>
  <c r="X58" i="24"/>
  <c r="X59" i="24"/>
  <c r="X60" i="24"/>
  <c r="X61" i="24"/>
  <c r="X62" i="24"/>
  <c r="X63" i="24"/>
  <c r="X64" i="24"/>
  <c r="X65" i="24"/>
  <c r="X67" i="24"/>
  <c r="X68" i="24"/>
  <c r="X69" i="24"/>
  <c r="X70" i="24"/>
  <c r="X71" i="24"/>
  <c r="X72" i="24"/>
  <c r="X73" i="24"/>
  <c r="X74" i="24"/>
  <c r="X75" i="24"/>
  <c r="X76" i="24"/>
  <c r="X77" i="24"/>
  <c r="X78" i="24"/>
  <c r="X79" i="24"/>
  <c r="X80" i="24"/>
  <c r="X81" i="24"/>
  <c r="X82" i="24"/>
  <c r="X83" i="24"/>
  <c r="X84" i="24"/>
  <c r="X86" i="24"/>
  <c r="X87" i="24"/>
  <c r="X88" i="24"/>
  <c r="X89" i="24"/>
  <c r="X90" i="24"/>
  <c r="X66" i="24"/>
  <c r="X91" i="24"/>
  <c r="X92" i="24"/>
  <c r="X93" i="24"/>
  <c r="X94" i="24"/>
  <c r="X95" i="24"/>
  <c r="X96" i="24"/>
  <c r="X97" i="24"/>
  <c r="X98" i="24"/>
  <c r="X99" i="24"/>
  <c r="X100" i="24"/>
  <c r="X101" i="24"/>
  <c r="X102" i="24"/>
  <c r="X103" i="24"/>
  <c r="X104" i="24"/>
  <c r="X105" i="24"/>
  <c r="X106" i="24"/>
  <c r="X107" i="24"/>
  <c r="X108" i="24"/>
  <c r="X109" i="24"/>
  <c r="X110" i="24"/>
  <c r="X111" i="24"/>
  <c r="X112" i="24"/>
  <c r="X113" i="24"/>
  <c r="X114" i="24"/>
  <c r="X115" i="24"/>
  <c r="X116" i="24"/>
  <c r="X117" i="24"/>
  <c r="X118" i="24"/>
  <c r="X119" i="24"/>
  <c r="X120" i="24"/>
  <c r="X121" i="24"/>
  <c r="X122" i="24"/>
  <c r="X123" i="24"/>
  <c r="X124" i="24"/>
  <c r="X125" i="24"/>
  <c r="X126" i="24"/>
  <c r="X127" i="24"/>
  <c r="X128" i="24"/>
  <c r="X129" i="24"/>
  <c r="X130" i="24"/>
  <c r="X131" i="24"/>
  <c r="X132" i="24"/>
  <c r="X133" i="24"/>
  <c r="X134" i="24"/>
  <c r="X135" i="24"/>
  <c r="X136" i="24"/>
  <c r="X137" i="24"/>
  <c r="X138" i="24"/>
  <c r="X139" i="24"/>
  <c r="X140" i="24"/>
  <c r="X141" i="24"/>
  <c r="X142" i="24"/>
  <c r="X143" i="24"/>
  <c r="X144" i="24"/>
  <c r="X145" i="24"/>
  <c r="X146" i="24"/>
  <c r="X147" i="24"/>
  <c r="X148" i="24"/>
  <c r="X149" i="24"/>
  <c r="X150" i="24"/>
  <c r="X151" i="24"/>
  <c r="X152" i="24"/>
  <c r="X153" i="24"/>
  <c r="X154" i="24"/>
  <c r="AH6" i="25"/>
  <c r="AB155" i="24" l="1"/>
  <c r="AF155" i="24"/>
  <c r="AH16" i="25"/>
  <c r="AH9" i="25"/>
  <c r="AH14" i="25"/>
  <c r="AH7" i="25"/>
  <c r="AH11" i="25"/>
  <c r="AH21" i="25"/>
  <c r="AH17" i="25"/>
  <c r="AH8" i="25"/>
  <c r="AH20" i="25"/>
  <c r="AH12" i="25"/>
  <c r="AH13" i="25"/>
  <c r="AH18" i="25"/>
  <c r="AH15" i="25"/>
  <c r="AH23" i="25"/>
  <c r="AH19" i="25"/>
  <c r="AH10" i="25"/>
  <c r="AH22" i="25"/>
  <c r="X155" i="24"/>
  <c r="AL24" i="25" l="1"/>
  <c r="AL6" i="25"/>
  <c r="AL7" i="25"/>
  <c r="AL14" i="25"/>
  <c r="AJ6" i="25"/>
  <c r="AJ16" i="25"/>
  <c r="AF6" i="25"/>
  <c r="AD6" i="25"/>
  <c r="AF15" i="25" l="1"/>
  <c r="AJ22" i="25"/>
  <c r="AD20" i="25"/>
  <c r="AD12" i="25"/>
  <c r="AD13" i="25"/>
  <c r="AF23" i="25"/>
  <c r="AF19" i="25"/>
  <c r="AF10" i="25"/>
  <c r="AJ11" i="25"/>
  <c r="AJ9" i="25"/>
  <c r="AJ17" i="25"/>
  <c r="AL21" i="25"/>
  <c r="AF18" i="25"/>
  <c r="AD18" i="25"/>
  <c r="AD15" i="25"/>
  <c r="AF16" i="25"/>
  <c r="AF22" i="25"/>
  <c r="AJ14" i="25"/>
  <c r="AJ7" i="25"/>
  <c r="AL8" i="25"/>
  <c r="AD23" i="25"/>
  <c r="AD19" i="25"/>
  <c r="AD10" i="25"/>
  <c r="AF11" i="25"/>
  <c r="AF9" i="25"/>
  <c r="AF17" i="25"/>
  <c r="AJ21" i="25"/>
  <c r="AL20" i="25"/>
  <c r="AL12" i="25"/>
  <c r="AL13" i="25"/>
  <c r="AD16" i="25"/>
  <c r="AD22" i="25"/>
  <c r="AF14" i="25"/>
  <c r="AF7" i="25"/>
  <c r="AJ8" i="25"/>
  <c r="AL18" i="25"/>
  <c r="AL15" i="25"/>
  <c r="AD11" i="25"/>
  <c r="AD9" i="25"/>
  <c r="AD17" i="25"/>
  <c r="AF21" i="25"/>
  <c r="AJ20" i="25"/>
  <c r="AJ12" i="25"/>
  <c r="AJ13" i="25"/>
  <c r="AL23" i="25"/>
  <c r="AL19" i="25"/>
  <c r="AL10" i="25"/>
  <c r="AD14" i="25"/>
  <c r="AD7" i="25"/>
  <c r="AF8" i="25"/>
  <c r="AJ18" i="25"/>
  <c r="AJ15" i="25"/>
  <c r="AL16" i="25"/>
  <c r="AL22" i="25"/>
  <c r="AD8" i="25"/>
  <c r="AD21" i="25"/>
  <c r="AF20" i="25"/>
  <c r="AF12" i="25"/>
  <c r="AF13" i="25"/>
  <c r="AJ23" i="25"/>
  <c r="AJ19" i="25"/>
  <c r="AJ10" i="25"/>
  <c r="AL11" i="25"/>
  <c r="AL9" i="25"/>
  <c r="AL17" i="25"/>
  <c r="AN24" i="25" l="1"/>
  <c r="AH155" i="17"/>
  <c r="AF155" i="17"/>
  <c r="AR9" i="17" l="1"/>
  <c r="AR10" i="17"/>
  <c r="AR20" i="17"/>
  <c r="AR21" i="17"/>
  <c r="AR26" i="17"/>
  <c r="AR27" i="17"/>
  <c r="AR28" i="17"/>
  <c r="AR29" i="17"/>
  <c r="AR33" i="17"/>
  <c r="AR35" i="17"/>
  <c r="AR36" i="17"/>
  <c r="AR42" i="17"/>
  <c r="AR49" i="17"/>
  <c r="AR50" i="17"/>
  <c r="AR57" i="17"/>
  <c r="AR58" i="17"/>
  <c r="AR59" i="17"/>
  <c r="AR60" i="17"/>
  <c r="AR61" i="17"/>
  <c r="AR66" i="17"/>
  <c r="AR67" i="17"/>
  <c r="AR68" i="17"/>
  <c r="AR69" i="17"/>
  <c r="AR73" i="17"/>
  <c r="AR74" i="17"/>
  <c r="AR75" i="17"/>
  <c r="AR76" i="17"/>
  <c r="AR77" i="17"/>
  <c r="AR81" i="17"/>
  <c r="AR82" i="17"/>
  <c r="AR84" i="17"/>
  <c r="AR85" i="17"/>
  <c r="AR88" i="17"/>
  <c r="AR89" i="17"/>
  <c r="AR90" i="17"/>
  <c r="AR91" i="17"/>
  <c r="AR92" i="17"/>
  <c r="AR96" i="17"/>
  <c r="AR98" i="17"/>
  <c r="AR99" i="17"/>
  <c r="AR100" i="17"/>
  <c r="AR102" i="17"/>
  <c r="AR104" i="17"/>
  <c r="AR105" i="17"/>
  <c r="AR106" i="17"/>
  <c r="AR107" i="17"/>
  <c r="AR108" i="17"/>
  <c r="AR111" i="17"/>
  <c r="AR112" i="17"/>
  <c r="AR113" i="17"/>
  <c r="AR114" i="17"/>
  <c r="AR115" i="17"/>
  <c r="AR116" i="17"/>
  <c r="AR119" i="17"/>
  <c r="AR120" i="17"/>
  <c r="AR121" i="17"/>
  <c r="AR122" i="17"/>
  <c r="AR123" i="17"/>
  <c r="AR124" i="17"/>
  <c r="AR127" i="17"/>
  <c r="AR128" i="17"/>
  <c r="AR129" i="17"/>
  <c r="AR130" i="17"/>
  <c r="AR131" i="17"/>
  <c r="AR132" i="17"/>
  <c r="AR135" i="17"/>
  <c r="AR136" i="17"/>
  <c r="AR137" i="17"/>
  <c r="AR138" i="17"/>
  <c r="AR139" i="17"/>
  <c r="AR140" i="17"/>
  <c r="AR143" i="17"/>
  <c r="AR144" i="17"/>
  <c r="AR145" i="17"/>
  <c r="AR146" i="17"/>
  <c r="AR147" i="17"/>
  <c r="AR148" i="17"/>
  <c r="AR150" i="17"/>
  <c r="AR151" i="17"/>
  <c r="AR152" i="17"/>
  <c r="AR153" i="17"/>
  <c r="AR154" i="17"/>
  <c r="AG6" i="25"/>
  <c r="AG17" i="25"/>
  <c r="AG9" i="25"/>
  <c r="AG11" i="25"/>
  <c r="AE6" i="25"/>
  <c r="AE10" i="25"/>
  <c r="AE17" i="25"/>
  <c r="AE9" i="25"/>
  <c r="AE11" i="25"/>
  <c r="AR6" i="17"/>
  <c r="AR7" i="17"/>
  <c r="AR8" i="17"/>
  <c r="AR11" i="17"/>
  <c r="AR12" i="17"/>
  <c r="AR13" i="17"/>
  <c r="AR14" i="17"/>
  <c r="AR15" i="17"/>
  <c r="AR16" i="17"/>
  <c r="AR22" i="17"/>
  <c r="AR23" i="17"/>
  <c r="AR24" i="17"/>
  <c r="AR25" i="17"/>
  <c r="AR30" i="17"/>
  <c r="AR31" i="17"/>
  <c r="AR32" i="17"/>
  <c r="AR34" i="17"/>
  <c r="AR38" i="17"/>
  <c r="AR39" i="17"/>
  <c r="AR40" i="17"/>
  <c r="AR43" i="17"/>
  <c r="AR46" i="17"/>
  <c r="AR47" i="17"/>
  <c r="AR48" i="17"/>
  <c r="AR51" i="17"/>
  <c r="AR54" i="17"/>
  <c r="AR55" i="17"/>
  <c r="AR56" i="17"/>
  <c r="AR62" i="17"/>
  <c r="AR63" i="17"/>
  <c r="AR64" i="17"/>
  <c r="AR70" i="17"/>
  <c r="AR71" i="17"/>
  <c r="AR72" i="17"/>
  <c r="AR78" i="17"/>
  <c r="AR79" i="17"/>
  <c r="AR80" i="17"/>
  <c r="AR83" i="17"/>
  <c r="AR86" i="17"/>
  <c r="AR87" i="17"/>
  <c r="AR93" i="17"/>
  <c r="AR94" i="17"/>
  <c r="AR95" i="17"/>
  <c r="AR97" i="17"/>
  <c r="AR101" i="17"/>
  <c r="AR103" i="17"/>
  <c r="AR109" i="17"/>
  <c r="AR110" i="17"/>
  <c r="AR117" i="17"/>
  <c r="AR118" i="17"/>
  <c r="AR125" i="17"/>
  <c r="AR126" i="17"/>
  <c r="AR133" i="17"/>
  <c r="AR134" i="17"/>
  <c r="AR141" i="17"/>
  <c r="AR142" i="17"/>
  <c r="AR149" i="17"/>
  <c r="AC6" i="25"/>
  <c r="AC10" i="25"/>
  <c r="AC17" i="25"/>
  <c r="AC9" i="25"/>
  <c r="AC11" i="25"/>
  <c r="T6" i="24"/>
  <c r="T7" i="24"/>
  <c r="T8" i="24"/>
  <c r="T9" i="24"/>
  <c r="T10" i="24"/>
  <c r="T11" i="24"/>
  <c r="T12" i="24"/>
  <c r="T13" i="24"/>
  <c r="T14" i="24"/>
  <c r="T15" i="24"/>
  <c r="T16" i="24"/>
  <c r="T17" i="24"/>
  <c r="T18" i="24"/>
  <c r="T19" i="24"/>
  <c r="T20" i="24"/>
  <c r="T21" i="24"/>
  <c r="T22" i="24"/>
  <c r="T23" i="24"/>
  <c r="T24" i="24"/>
  <c r="T25" i="24"/>
  <c r="T26" i="24"/>
  <c r="T27" i="24"/>
  <c r="T28" i="24"/>
  <c r="T29" i="24"/>
  <c r="T30" i="24"/>
  <c r="T31" i="24"/>
  <c r="T32" i="24"/>
  <c r="T33" i="24"/>
  <c r="T34" i="24"/>
  <c r="T35" i="24"/>
  <c r="T36" i="24"/>
  <c r="T37" i="24"/>
  <c r="T38" i="24"/>
  <c r="T39" i="24"/>
  <c r="T40" i="24"/>
  <c r="T41" i="24"/>
  <c r="T42" i="24"/>
  <c r="T43" i="24"/>
  <c r="T44" i="24"/>
  <c r="T46" i="24"/>
  <c r="T47" i="24"/>
  <c r="T48" i="24"/>
  <c r="T49" i="24"/>
  <c r="T50" i="24"/>
  <c r="T85" i="24"/>
  <c r="T51" i="24"/>
  <c r="T52" i="24"/>
  <c r="T53" i="24"/>
  <c r="T54" i="24"/>
  <c r="T55" i="24"/>
  <c r="T56" i="24"/>
  <c r="T57" i="24"/>
  <c r="T58" i="24"/>
  <c r="T59" i="24"/>
  <c r="T60" i="24"/>
  <c r="T61" i="24"/>
  <c r="T62" i="24"/>
  <c r="T63" i="24"/>
  <c r="T64" i="24"/>
  <c r="T65" i="24"/>
  <c r="T67" i="24"/>
  <c r="T68" i="24"/>
  <c r="T69" i="24"/>
  <c r="T70" i="24"/>
  <c r="T71" i="24"/>
  <c r="T72" i="24"/>
  <c r="T73" i="24"/>
  <c r="T74" i="24"/>
  <c r="T75" i="24"/>
  <c r="T76" i="24"/>
  <c r="T77" i="24"/>
  <c r="T78" i="24"/>
  <c r="T79" i="24"/>
  <c r="T80" i="24"/>
  <c r="T81" i="24"/>
  <c r="T82" i="24"/>
  <c r="T83" i="24"/>
  <c r="T84" i="24"/>
  <c r="T86" i="24"/>
  <c r="T87" i="24"/>
  <c r="T88" i="24"/>
  <c r="T89" i="24"/>
  <c r="T90" i="24"/>
  <c r="T66" i="24"/>
  <c r="T91" i="24"/>
  <c r="T92" i="24"/>
  <c r="T93" i="24"/>
  <c r="T94" i="24"/>
  <c r="T95" i="24"/>
  <c r="T96" i="24"/>
  <c r="T97" i="24"/>
  <c r="T98" i="24"/>
  <c r="T99" i="24"/>
  <c r="T100" i="24"/>
  <c r="T101" i="24"/>
  <c r="T102" i="24"/>
  <c r="T103" i="24"/>
  <c r="T104" i="24"/>
  <c r="T105" i="24"/>
  <c r="T106" i="24"/>
  <c r="T107" i="24"/>
  <c r="T108" i="24"/>
  <c r="T109" i="24"/>
  <c r="T110" i="24"/>
  <c r="T111" i="24"/>
  <c r="T112" i="24"/>
  <c r="T113" i="24"/>
  <c r="T114" i="24"/>
  <c r="T115" i="24"/>
  <c r="T116" i="24"/>
  <c r="T117" i="24"/>
  <c r="T118" i="24"/>
  <c r="T119" i="24"/>
  <c r="T120" i="24"/>
  <c r="T121" i="24"/>
  <c r="T122" i="24"/>
  <c r="T123" i="24"/>
  <c r="T124" i="24"/>
  <c r="T125" i="24"/>
  <c r="T126" i="24"/>
  <c r="T127" i="24"/>
  <c r="T128" i="24"/>
  <c r="T129" i="24"/>
  <c r="T130" i="24"/>
  <c r="T131" i="24"/>
  <c r="T132" i="24"/>
  <c r="T133" i="24"/>
  <c r="T134" i="24"/>
  <c r="T135" i="24"/>
  <c r="T136" i="24"/>
  <c r="T137" i="24"/>
  <c r="T138" i="24"/>
  <c r="T139" i="24"/>
  <c r="T140" i="24"/>
  <c r="T141" i="24"/>
  <c r="T142" i="24"/>
  <c r="T143" i="24"/>
  <c r="T144" i="24"/>
  <c r="T145" i="24"/>
  <c r="T146" i="24"/>
  <c r="T147" i="24"/>
  <c r="T148" i="24"/>
  <c r="T149" i="24"/>
  <c r="T150" i="24"/>
  <c r="T151" i="24"/>
  <c r="T152" i="24"/>
  <c r="T153" i="24"/>
  <c r="T154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6" i="24"/>
  <c r="P47" i="24"/>
  <c r="P48" i="24"/>
  <c r="P49" i="24"/>
  <c r="P50" i="24"/>
  <c r="P85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7" i="24"/>
  <c r="P68" i="24"/>
  <c r="P69" i="24"/>
  <c r="P70" i="24"/>
  <c r="P71" i="24"/>
  <c r="P72" i="24"/>
  <c r="P73" i="24"/>
  <c r="P74" i="24"/>
  <c r="P75" i="24"/>
  <c r="P76" i="24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66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150" i="24"/>
  <c r="P151" i="24"/>
  <c r="P152" i="24"/>
  <c r="P153" i="24"/>
  <c r="P154" i="24"/>
  <c r="L6" i="24"/>
  <c r="L7" i="24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6" i="24"/>
  <c r="L47" i="24"/>
  <c r="L48" i="24"/>
  <c r="L49" i="24"/>
  <c r="L50" i="24"/>
  <c r="L85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7" i="24"/>
  <c r="L68" i="24"/>
  <c r="L69" i="24"/>
  <c r="L70" i="24"/>
  <c r="L71" i="24"/>
  <c r="L72" i="24"/>
  <c r="L73" i="24"/>
  <c r="L74" i="24"/>
  <c r="L75" i="24"/>
  <c r="L76" i="24"/>
  <c r="L77" i="24"/>
  <c r="L78" i="24"/>
  <c r="L79" i="24"/>
  <c r="L80" i="24"/>
  <c r="L81" i="24"/>
  <c r="L82" i="24"/>
  <c r="L83" i="24"/>
  <c r="L84" i="24"/>
  <c r="L86" i="24"/>
  <c r="L87" i="24"/>
  <c r="L88" i="24"/>
  <c r="L89" i="24"/>
  <c r="L90" i="24"/>
  <c r="L66" i="24"/>
  <c r="L91" i="24"/>
  <c r="L92" i="24"/>
  <c r="L93" i="24"/>
  <c r="L94" i="24"/>
  <c r="L95" i="24"/>
  <c r="L96" i="24"/>
  <c r="L97" i="24"/>
  <c r="L98" i="24"/>
  <c r="L99" i="24"/>
  <c r="L100" i="24"/>
  <c r="L101" i="24"/>
  <c r="L102" i="24"/>
  <c r="L103" i="24"/>
  <c r="L104" i="24"/>
  <c r="L105" i="24"/>
  <c r="L106" i="24"/>
  <c r="L107" i="24"/>
  <c r="L108" i="24"/>
  <c r="L109" i="24"/>
  <c r="L110" i="24"/>
  <c r="L111" i="24"/>
  <c r="L112" i="24"/>
  <c r="L113" i="24"/>
  <c r="L114" i="24"/>
  <c r="L115" i="24"/>
  <c r="L116" i="24"/>
  <c r="L117" i="24"/>
  <c r="L118" i="24"/>
  <c r="L119" i="24"/>
  <c r="L120" i="24"/>
  <c r="L121" i="24"/>
  <c r="L122" i="24"/>
  <c r="L123" i="24"/>
  <c r="L124" i="24"/>
  <c r="L125" i="24"/>
  <c r="L126" i="24"/>
  <c r="L127" i="24"/>
  <c r="L128" i="24"/>
  <c r="L129" i="24"/>
  <c r="L130" i="24"/>
  <c r="L131" i="24"/>
  <c r="L132" i="24"/>
  <c r="L133" i="24"/>
  <c r="L134" i="24"/>
  <c r="L135" i="24"/>
  <c r="L136" i="24"/>
  <c r="L137" i="24"/>
  <c r="L138" i="24"/>
  <c r="L139" i="24"/>
  <c r="L140" i="24"/>
  <c r="L141" i="24"/>
  <c r="L142" i="24"/>
  <c r="L143" i="24"/>
  <c r="L144" i="24"/>
  <c r="L145" i="24"/>
  <c r="L146" i="24"/>
  <c r="L147" i="24"/>
  <c r="L148" i="24"/>
  <c r="L149" i="24"/>
  <c r="L150" i="24"/>
  <c r="L151" i="24"/>
  <c r="L152" i="24"/>
  <c r="L153" i="24"/>
  <c r="L154" i="24"/>
  <c r="AC156" i="51"/>
  <c r="AB156" i="51"/>
  <c r="AA156" i="51"/>
  <c r="Z156" i="51"/>
  <c r="Y156" i="51"/>
  <c r="X156" i="51"/>
  <c r="W156" i="51"/>
  <c r="V156" i="51"/>
  <c r="U156" i="51"/>
  <c r="T156" i="51"/>
  <c r="S156" i="51"/>
  <c r="R156" i="51"/>
  <c r="N156" i="51"/>
  <c r="M156" i="51"/>
  <c r="L156" i="51"/>
  <c r="K156" i="51"/>
  <c r="J156" i="51"/>
  <c r="I156" i="51"/>
  <c r="H156" i="51"/>
  <c r="G156" i="51"/>
  <c r="F156" i="51"/>
  <c r="D156" i="51"/>
  <c r="C156" i="51"/>
  <c r="AG21" i="25" l="1"/>
  <c r="AC14" i="25"/>
  <c r="AC7" i="25"/>
  <c r="AE14" i="25"/>
  <c r="AE7" i="25"/>
  <c r="AG8" i="25"/>
  <c r="AC21" i="25"/>
  <c r="AE21" i="25"/>
  <c r="AG20" i="25"/>
  <c r="AG12" i="25"/>
  <c r="AG13" i="25"/>
  <c r="AC8" i="25"/>
  <c r="AE8" i="25"/>
  <c r="AG18" i="25"/>
  <c r="AG15" i="25"/>
  <c r="AC20" i="25"/>
  <c r="AC12" i="25"/>
  <c r="AC13" i="25"/>
  <c r="AE20" i="25"/>
  <c r="AE12" i="25"/>
  <c r="AE13" i="25"/>
  <c r="AG23" i="25"/>
  <c r="AG19" i="25"/>
  <c r="AG10" i="25"/>
  <c r="AC18" i="25"/>
  <c r="AC15" i="25"/>
  <c r="AE18" i="25"/>
  <c r="AE15" i="25"/>
  <c r="AG16" i="25"/>
  <c r="AG22" i="25"/>
  <c r="AC23" i="25"/>
  <c r="AC19" i="25"/>
  <c r="AE23" i="25"/>
  <c r="AE19" i="25"/>
  <c r="AC16" i="25"/>
  <c r="AC22" i="25"/>
  <c r="AE16" i="25"/>
  <c r="AE22" i="25"/>
  <c r="AG14" i="25"/>
  <c r="AG7" i="25"/>
  <c r="AR53" i="17"/>
  <c r="AN11" i="25"/>
  <c r="AR45" i="17"/>
  <c r="AN9" i="25"/>
  <c r="AR37" i="17"/>
  <c r="AN17" i="25"/>
  <c r="AR52" i="17"/>
  <c r="AN14" i="25"/>
  <c r="AR44" i="17"/>
  <c r="AN7" i="25"/>
  <c r="AR19" i="17"/>
  <c r="AN21" i="25"/>
  <c r="AR18" i="17"/>
  <c r="AN8" i="25"/>
  <c r="AR65" i="17"/>
  <c r="AN20" i="25"/>
  <c r="AR41" i="17"/>
  <c r="AN12" i="25"/>
  <c r="AN13" i="25"/>
  <c r="AR17" i="17"/>
  <c r="AN6" i="25"/>
  <c r="AN18" i="25"/>
  <c r="AN15" i="25"/>
  <c r="AN23" i="25"/>
  <c r="AN19" i="25"/>
  <c r="AN10" i="25"/>
  <c r="AN16" i="25"/>
  <c r="AN22" i="25"/>
  <c r="AG155" i="17"/>
  <c r="AE155" i="17"/>
  <c r="AK24" i="25" l="1"/>
  <c r="I6" i="17" l="1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B135" i="2" l="1"/>
  <c r="B136" i="2"/>
  <c r="B137" i="2"/>
  <c r="B138" i="2"/>
  <c r="B139" i="2"/>
  <c r="B140" i="2"/>
  <c r="B141" i="2"/>
  <c r="M45" i="17" l="1"/>
  <c r="P45" i="17"/>
  <c r="S45" i="17"/>
  <c r="V45" i="17"/>
  <c r="AQ45" i="17"/>
  <c r="Q18" i="18" l="1"/>
  <c r="AB155" i="17" l="1"/>
  <c r="AJ155" i="17"/>
  <c r="AD155" i="17"/>
  <c r="AP155" i="17"/>
  <c r="AL155" i="17"/>
  <c r="AN155" i="17"/>
  <c r="AW155" i="17" l="1"/>
  <c r="D165" i="13"/>
  <c r="E165" i="13"/>
  <c r="F165" i="13"/>
  <c r="G165" i="13"/>
  <c r="I165" i="13"/>
  <c r="J165" i="13"/>
  <c r="K165" i="13"/>
  <c r="L165" i="13"/>
  <c r="M165" i="13"/>
  <c r="N165" i="13"/>
  <c r="O165" i="13"/>
  <c r="P165" i="13"/>
  <c r="Q165" i="13"/>
  <c r="R165" i="13"/>
  <c r="D166" i="13"/>
  <c r="E166" i="13"/>
  <c r="F166" i="13"/>
  <c r="G166" i="13"/>
  <c r="I166" i="13"/>
  <c r="H166" i="13" s="1"/>
  <c r="J166" i="13"/>
  <c r="K166" i="13"/>
  <c r="L166" i="13"/>
  <c r="M166" i="13"/>
  <c r="N166" i="13"/>
  <c r="O166" i="13"/>
  <c r="P166" i="13"/>
  <c r="Q166" i="13"/>
  <c r="R166" i="13"/>
  <c r="D167" i="13"/>
  <c r="E167" i="13"/>
  <c r="F167" i="13"/>
  <c r="G167" i="13"/>
  <c r="I167" i="13"/>
  <c r="J167" i="13"/>
  <c r="K167" i="13"/>
  <c r="L167" i="13"/>
  <c r="M167" i="13"/>
  <c r="N167" i="13"/>
  <c r="O167" i="13"/>
  <c r="P167" i="13"/>
  <c r="Q167" i="13"/>
  <c r="R167" i="13"/>
  <c r="D168" i="13"/>
  <c r="E168" i="13"/>
  <c r="F168" i="13"/>
  <c r="G168" i="13"/>
  <c r="I168" i="13"/>
  <c r="J168" i="13"/>
  <c r="K168" i="13"/>
  <c r="L168" i="13"/>
  <c r="M168" i="13"/>
  <c r="N168" i="13"/>
  <c r="O168" i="13"/>
  <c r="P168" i="13"/>
  <c r="Q168" i="13"/>
  <c r="R168" i="13"/>
  <c r="H167" i="13" l="1"/>
  <c r="H168" i="13"/>
  <c r="H165" i="13"/>
  <c r="B123" i="2" l="1"/>
  <c r="B124" i="2"/>
  <c r="B125" i="2"/>
  <c r="B126" i="2"/>
  <c r="B127" i="2"/>
  <c r="B128" i="2"/>
  <c r="B129" i="2"/>
  <c r="B130" i="2"/>
  <c r="B131" i="2"/>
  <c r="B132" i="2"/>
  <c r="B133" i="2"/>
  <c r="B134" i="2"/>
  <c r="T155" i="24" l="1"/>
  <c r="BD7" i="25" l="1"/>
  <c r="BD11" i="25"/>
  <c r="BD15" i="25"/>
  <c r="BD19" i="25"/>
  <c r="BD23" i="25"/>
  <c r="BD9" i="25"/>
  <c r="BD17" i="25"/>
  <c r="BD6" i="25"/>
  <c r="BD14" i="25"/>
  <c r="BD22" i="25"/>
  <c r="BD8" i="25"/>
  <c r="BD12" i="25"/>
  <c r="BD16" i="25"/>
  <c r="BD20" i="25"/>
  <c r="BD13" i="25"/>
  <c r="BD21" i="25"/>
  <c r="BD10" i="25"/>
  <c r="BD18" i="25"/>
  <c r="B121" i="2"/>
  <c r="B122" i="2"/>
  <c r="V152" i="17" l="1"/>
  <c r="V148" i="17"/>
  <c r="V144" i="17"/>
  <c r="V140" i="17"/>
  <c r="V136" i="17"/>
  <c r="V132" i="17"/>
  <c r="V128" i="17"/>
  <c r="V124" i="17"/>
  <c r="V120" i="17"/>
  <c r="V116" i="17"/>
  <c r="V112" i="17"/>
  <c r="V108" i="17"/>
  <c r="V103" i="17"/>
  <c r="V99" i="17"/>
  <c r="V95" i="17"/>
  <c r="V91" i="17"/>
  <c r="V88" i="17"/>
  <c r="V84" i="17"/>
  <c r="V81" i="17"/>
  <c r="V77" i="17"/>
  <c r="V73" i="17"/>
  <c r="V69" i="17"/>
  <c r="V64" i="17"/>
  <c r="V60" i="17"/>
  <c r="V56" i="17"/>
  <c r="V52" i="17"/>
  <c r="V50" i="17"/>
  <c r="V46" i="17"/>
  <c r="V41" i="17"/>
  <c r="V37" i="17"/>
  <c r="V33" i="17"/>
  <c r="V29" i="17"/>
  <c r="V25" i="17"/>
  <c r="V21" i="17"/>
  <c r="V17" i="17"/>
  <c r="V13" i="17"/>
  <c r="V9" i="17"/>
  <c r="V151" i="17"/>
  <c r="V147" i="17"/>
  <c r="V143" i="17"/>
  <c r="V139" i="17"/>
  <c r="V135" i="17"/>
  <c r="V131" i="17"/>
  <c r="V127" i="17"/>
  <c r="V123" i="17"/>
  <c r="V119" i="17"/>
  <c r="V115" i="17"/>
  <c r="V111" i="17"/>
  <c r="V106" i="17"/>
  <c r="V102" i="17"/>
  <c r="V98" i="17"/>
  <c r="V94" i="17"/>
  <c r="V66" i="17"/>
  <c r="V87" i="17"/>
  <c r="V107" i="17"/>
  <c r="V80" i="17"/>
  <c r="V76" i="17"/>
  <c r="V72" i="17"/>
  <c r="V68" i="17"/>
  <c r="V63" i="17"/>
  <c r="V59" i="17"/>
  <c r="V55" i="17"/>
  <c r="V51" i="17"/>
  <c r="V49" i="17"/>
  <c r="V44" i="17"/>
  <c r="V40" i="17"/>
  <c r="V36" i="17"/>
  <c r="V32" i="17"/>
  <c r="V28" i="17"/>
  <c r="V24" i="17"/>
  <c r="V20" i="17"/>
  <c r="V16" i="17"/>
  <c r="V12" i="17"/>
  <c r="V8" i="17"/>
  <c r="V150" i="17"/>
  <c r="V146" i="17"/>
  <c r="V142" i="17"/>
  <c r="V138" i="17"/>
  <c r="V134" i="17"/>
  <c r="V130" i="17"/>
  <c r="V126" i="17"/>
  <c r="V122" i="17"/>
  <c r="V118" i="17"/>
  <c r="V114" i="17"/>
  <c r="V110" i="17"/>
  <c r="V105" i="17"/>
  <c r="V101" i="17"/>
  <c r="V97" i="17"/>
  <c r="V93" i="17"/>
  <c r="V90" i="17"/>
  <c r="V83" i="17"/>
  <c r="V79" i="17"/>
  <c r="V75" i="17"/>
  <c r="V71" i="17"/>
  <c r="V67" i="17"/>
  <c r="V62" i="17"/>
  <c r="V58" i="17"/>
  <c r="V54" i="17"/>
  <c r="V48" i="17"/>
  <c r="V43" i="17"/>
  <c r="V39" i="17"/>
  <c r="V35" i="17"/>
  <c r="V31" i="17"/>
  <c r="V27" i="17"/>
  <c r="V23" i="17"/>
  <c r="V19" i="17"/>
  <c r="V15" i="17"/>
  <c r="V11" i="17"/>
  <c r="V7" i="17"/>
  <c r="V153" i="17"/>
  <c r="V149" i="17"/>
  <c r="V145" i="17"/>
  <c r="V141" i="17"/>
  <c r="V137" i="17"/>
  <c r="V133" i="17"/>
  <c r="V129" i="17"/>
  <c r="V125" i="17"/>
  <c r="V121" i="17"/>
  <c r="V117" i="17"/>
  <c r="V113" i="17"/>
  <c r="V109" i="17"/>
  <c r="V104" i="17"/>
  <c r="V100" i="17"/>
  <c r="V96" i="17"/>
  <c r="V92" i="17"/>
  <c r="V89" i="17"/>
  <c r="V86" i="17"/>
  <c r="V82" i="17"/>
  <c r="V78" i="17"/>
  <c r="V74" i="17"/>
  <c r="V70" i="17"/>
  <c r="V65" i="17"/>
  <c r="V61" i="17"/>
  <c r="V57" i="17"/>
  <c r="V53" i="17"/>
  <c r="V85" i="17"/>
  <c r="V47" i="17"/>
  <c r="V42" i="17"/>
  <c r="V38" i="17"/>
  <c r="V34" i="17"/>
  <c r="V30" i="17"/>
  <c r="V26" i="17"/>
  <c r="V22" i="17"/>
  <c r="V18" i="17"/>
  <c r="V14" i="17"/>
  <c r="V10" i="17"/>
  <c r="V6" i="17"/>
  <c r="S154" i="17"/>
  <c r="V154" i="17"/>
  <c r="P152" i="17"/>
  <c r="S152" i="17"/>
  <c r="P148" i="17"/>
  <c r="S148" i="17"/>
  <c r="P144" i="17"/>
  <c r="S144" i="17"/>
  <c r="P140" i="17"/>
  <c r="S140" i="17"/>
  <c r="P136" i="17"/>
  <c r="S136" i="17"/>
  <c r="P132" i="17"/>
  <c r="S132" i="17"/>
  <c r="P128" i="17"/>
  <c r="S128" i="17"/>
  <c r="P124" i="17"/>
  <c r="S124" i="17"/>
  <c r="P120" i="17"/>
  <c r="S120" i="17"/>
  <c r="P116" i="17"/>
  <c r="S116" i="17"/>
  <c r="P112" i="17"/>
  <c r="S112" i="17"/>
  <c r="P108" i="17"/>
  <c r="S108" i="17"/>
  <c r="P103" i="17"/>
  <c r="S103" i="17"/>
  <c r="P99" i="17"/>
  <c r="S99" i="17"/>
  <c r="P95" i="17"/>
  <c r="S95" i="17"/>
  <c r="P91" i="17"/>
  <c r="S91" i="17"/>
  <c r="P88" i="17"/>
  <c r="S88" i="17"/>
  <c r="P84" i="17"/>
  <c r="S84" i="17"/>
  <c r="P81" i="17"/>
  <c r="S81" i="17"/>
  <c r="P77" i="17"/>
  <c r="S77" i="17"/>
  <c r="P73" i="17"/>
  <c r="S73" i="17"/>
  <c r="P69" i="17"/>
  <c r="S69" i="17"/>
  <c r="P64" i="17"/>
  <c r="S64" i="17"/>
  <c r="P60" i="17"/>
  <c r="S60" i="17"/>
  <c r="P56" i="17"/>
  <c r="S56" i="17"/>
  <c r="P52" i="17"/>
  <c r="S52" i="17"/>
  <c r="P50" i="17"/>
  <c r="S50" i="17"/>
  <c r="P46" i="17"/>
  <c r="S46" i="17"/>
  <c r="P41" i="17"/>
  <c r="S41" i="17"/>
  <c r="P37" i="17"/>
  <c r="S37" i="17"/>
  <c r="P33" i="17"/>
  <c r="S33" i="17"/>
  <c r="P29" i="17"/>
  <c r="S29" i="17"/>
  <c r="P25" i="17"/>
  <c r="S25" i="17"/>
  <c r="P21" i="17"/>
  <c r="S21" i="17"/>
  <c r="P17" i="17"/>
  <c r="S17" i="17"/>
  <c r="P13" i="17"/>
  <c r="S13" i="17"/>
  <c r="P9" i="17"/>
  <c r="S9" i="17"/>
  <c r="P151" i="17"/>
  <c r="S151" i="17"/>
  <c r="P147" i="17"/>
  <c r="S147" i="17"/>
  <c r="P143" i="17"/>
  <c r="S143" i="17"/>
  <c r="P139" i="17"/>
  <c r="S139" i="17"/>
  <c r="P135" i="17"/>
  <c r="S135" i="17"/>
  <c r="P131" i="17"/>
  <c r="S131" i="17"/>
  <c r="P127" i="17"/>
  <c r="S127" i="17"/>
  <c r="P123" i="17"/>
  <c r="S123" i="17"/>
  <c r="P119" i="17"/>
  <c r="S119" i="17"/>
  <c r="P115" i="17"/>
  <c r="S115" i="17"/>
  <c r="P111" i="17"/>
  <c r="S111" i="17"/>
  <c r="P106" i="17"/>
  <c r="S106" i="17"/>
  <c r="P102" i="17"/>
  <c r="S102" i="17"/>
  <c r="P98" i="17"/>
  <c r="S98" i="17"/>
  <c r="P94" i="17"/>
  <c r="S94" i="17"/>
  <c r="P66" i="17"/>
  <c r="S66" i="17"/>
  <c r="P87" i="17"/>
  <c r="S87" i="17"/>
  <c r="P107" i="17"/>
  <c r="S107" i="17"/>
  <c r="P80" i="17"/>
  <c r="S80" i="17"/>
  <c r="P76" i="17"/>
  <c r="S76" i="17"/>
  <c r="P72" i="17"/>
  <c r="S72" i="17"/>
  <c r="P68" i="17"/>
  <c r="S68" i="17"/>
  <c r="P63" i="17"/>
  <c r="S63" i="17"/>
  <c r="P59" i="17"/>
  <c r="S59" i="17"/>
  <c r="P55" i="17"/>
  <c r="S55" i="17"/>
  <c r="P51" i="17"/>
  <c r="S51" i="17"/>
  <c r="P49" i="17"/>
  <c r="S49" i="17"/>
  <c r="P44" i="17"/>
  <c r="S44" i="17"/>
  <c r="P40" i="17"/>
  <c r="S40" i="17"/>
  <c r="P36" i="17"/>
  <c r="S36" i="17"/>
  <c r="P32" i="17"/>
  <c r="S32" i="17"/>
  <c r="P28" i="17"/>
  <c r="S28" i="17"/>
  <c r="P24" i="17"/>
  <c r="S24" i="17"/>
  <c r="P20" i="17"/>
  <c r="S20" i="17"/>
  <c r="P16" i="17"/>
  <c r="S16" i="17"/>
  <c r="P12" i="17"/>
  <c r="S12" i="17"/>
  <c r="P8" i="17"/>
  <c r="S8" i="17"/>
  <c r="P150" i="17"/>
  <c r="S150" i="17"/>
  <c r="P146" i="17"/>
  <c r="S146" i="17"/>
  <c r="P142" i="17"/>
  <c r="S142" i="17"/>
  <c r="P138" i="17"/>
  <c r="S138" i="17"/>
  <c r="P134" i="17"/>
  <c r="S134" i="17"/>
  <c r="P130" i="17"/>
  <c r="S130" i="17"/>
  <c r="P126" i="17"/>
  <c r="S126" i="17"/>
  <c r="P122" i="17"/>
  <c r="S122" i="17"/>
  <c r="P118" i="17"/>
  <c r="S118" i="17"/>
  <c r="P114" i="17"/>
  <c r="S114" i="17"/>
  <c r="P110" i="17"/>
  <c r="S110" i="17"/>
  <c r="P105" i="17"/>
  <c r="S105" i="17"/>
  <c r="P101" i="17"/>
  <c r="S101" i="17"/>
  <c r="P97" i="17"/>
  <c r="S97" i="17"/>
  <c r="P93" i="17"/>
  <c r="S93" i="17"/>
  <c r="P90" i="17"/>
  <c r="S90" i="17"/>
  <c r="P83" i="17"/>
  <c r="S83" i="17"/>
  <c r="P79" i="17"/>
  <c r="S79" i="17"/>
  <c r="P75" i="17"/>
  <c r="S75" i="17"/>
  <c r="P71" i="17"/>
  <c r="S71" i="17"/>
  <c r="P67" i="17"/>
  <c r="S67" i="17"/>
  <c r="P62" i="17"/>
  <c r="S62" i="17"/>
  <c r="P58" i="17"/>
  <c r="S58" i="17"/>
  <c r="P54" i="17"/>
  <c r="S54" i="17"/>
  <c r="P48" i="17"/>
  <c r="S48" i="17"/>
  <c r="P43" i="17"/>
  <c r="S43" i="17"/>
  <c r="P39" i="17"/>
  <c r="S39" i="17"/>
  <c r="P35" i="17"/>
  <c r="S35" i="17"/>
  <c r="P31" i="17"/>
  <c r="S31" i="17"/>
  <c r="P27" i="17"/>
  <c r="S27" i="17"/>
  <c r="P23" i="17"/>
  <c r="S23" i="17"/>
  <c r="P19" i="17"/>
  <c r="S19" i="17"/>
  <c r="P15" i="17"/>
  <c r="S15" i="17"/>
  <c r="P11" i="17"/>
  <c r="S11" i="17"/>
  <c r="P7" i="17"/>
  <c r="S7" i="17"/>
  <c r="P153" i="17"/>
  <c r="S153" i="17"/>
  <c r="P149" i="17"/>
  <c r="S149" i="17"/>
  <c r="P145" i="17"/>
  <c r="S145" i="17"/>
  <c r="P141" i="17"/>
  <c r="S141" i="17"/>
  <c r="P137" i="17"/>
  <c r="S137" i="17"/>
  <c r="P133" i="17"/>
  <c r="S133" i="17"/>
  <c r="P129" i="17"/>
  <c r="S129" i="17"/>
  <c r="P125" i="17"/>
  <c r="S125" i="17"/>
  <c r="P121" i="17"/>
  <c r="S121" i="17"/>
  <c r="P117" i="17"/>
  <c r="S117" i="17"/>
  <c r="P113" i="17"/>
  <c r="S113" i="17"/>
  <c r="P109" i="17"/>
  <c r="S109" i="17"/>
  <c r="P104" i="17"/>
  <c r="S104" i="17"/>
  <c r="P100" i="17"/>
  <c r="S100" i="17"/>
  <c r="P96" i="17"/>
  <c r="S96" i="17"/>
  <c r="P92" i="17"/>
  <c r="S92" i="17"/>
  <c r="P89" i="17"/>
  <c r="S89" i="17"/>
  <c r="P86" i="17"/>
  <c r="S86" i="17"/>
  <c r="P82" i="17"/>
  <c r="S82" i="17"/>
  <c r="P78" i="17"/>
  <c r="S78" i="17"/>
  <c r="P74" i="17"/>
  <c r="S74" i="17"/>
  <c r="P70" i="17"/>
  <c r="S70" i="17"/>
  <c r="P65" i="17"/>
  <c r="S65" i="17"/>
  <c r="P61" i="17"/>
  <c r="S61" i="17"/>
  <c r="P57" i="17"/>
  <c r="S57" i="17"/>
  <c r="P53" i="17"/>
  <c r="S53" i="17"/>
  <c r="P85" i="17"/>
  <c r="S85" i="17"/>
  <c r="P47" i="17"/>
  <c r="S47" i="17"/>
  <c r="P42" i="17"/>
  <c r="S42" i="17"/>
  <c r="P38" i="17"/>
  <c r="S38" i="17"/>
  <c r="P34" i="17"/>
  <c r="S34" i="17"/>
  <c r="P30" i="17"/>
  <c r="S30" i="17"/>
  <c r="P26" i="17"/>
  <c r="S26" i="17"/>
  <c r="P22" i="17"/>
  <c r="S22" i="17"/>
  <c r="P18" i="17"/>
  <c r="S18" i="17"/>
  <c r="P14" i="17"/>
  <c r="S14" i="17"/>
  <c r="P10" i="17"/>
  <c r="S10" i="17"/>
  <c r="P6" i="17"/>
  <c r="S6" i="17"/>
  <c r="P154" i="17"/>
  <c r="M153" i="17"/>
  <c r="M152" i="17"/>
  <c r="M148" i="17"/>
  <c r="M144" i="17"/>
  <c r="M140" i="17"/>
  <c r="M136" i="17"/>
  <c r="M132" i="17"/>
  <c r="M128" i="17"/>
  <c r="M124" i="17"/>
  <c r="M120" i="17"/>
  <c r="M116" i="17"/>
  <c r="M112" i="17"/>
  <c r="M108" i="17"/>
  <c r="M103" i="17"/>
  <c r="M99" i="17"/>
  <c r="M95" i="17"/>
  <c r="M91" i="17"/>
  <c r="M88" i="17"/>
  <c r="M84" i="17"/>
  <c r="M81" i="17"/>
  <c r="M77" i="17"/>
  <c r="M73" i="17"/>
  <c r="M69" i="17"/>
  <c r="M64" i="17"/>
  <c r="M60" i="17"/>
  <c r="M56" i="17"/>
  <c r="M52" i="17"/>
  <c r="M50" i="17"/>
  <c r="M46" i="17"/>
  <c r="M41" i="17"/>
  <c r="M37" i="17"/>
  <c r="M33" i="17"/>
  <c r="M29" i="17"/>
  <c r="M25" i="17"/>
  <c r="M21" i="17"/>
  <c r="M17" i="17"/>
  <c r="M13" i="17"/>
  <c r="M9" i="17"/>
  <c r="M151" i="17"/>
  <c r="M147" i="17"/>
  <c r="M143" i="17"/>
  <c r="M139" i="17"/>
  <c r="M135" i="17"/>
  <c r="M131" i="17"/>
  <c r="M127" i="17"/>
  <c r="M123" i="17"/>
  <c r="M119" i="17"/>
  <c r="M115" i="17"/>
  <c r="M111" i="17"/>
  <c r="M106" i="17"/>
  <c r="M102" i="17"/>
  <c r="M98" i="17"/>
  <c r="M94" i="17"/>
  <c r="M66" i="17"/>
  <c r="M87" i="17"/>
  <c r="M107" i="17"/>
  <c r="M80" i="17"/>
  <c r="M76" i="17"/>
  <c r="M72" i="17"/>
  <c r="M68" i="17"/>
  <c r="M63" i="17"/>
  <c r="M59" i="17"/>
  <c r="M55" i="17"/>
  <c r="M51" i="17"/>
  <c r="M49" i="17"/>
  <c r="M44" i="17"/>
  <c r="M40" i="17"/>
  <c r="M36" i="17"/>
  <c r="M32" i="17"/>
  <c r="M28" i="17"/>
  <c r="M24" i="17"/>
  <c r="M20" i="17"/>
  <c r="M16" i="17"/>
  <c r="M12" i="17"/>
  <c r="M8" i="17"/>
  <c r="M154" i="17"/>
  <c r="M150" i="17"/>
  <c r="M146" i="17"/>
  <c r="M142" i="17"/>
  <c r="M138" i="17"/>
  <c r="M134" i="17"/>
  <c r="M130" i="17"/>
  <c r="M126" i="17"/>
  <c r="M122" i="17"/>
  <c r="M118" i="17"/>
  <c r="M114" i="17"/>
  <c r="M110" i="17"/>
  <c r="M105" i="17"/>
  <c r="M101" i="17"/>
  <c r="M97" i="17"/>
  <c r="M93" i="17"/>
  <c r="M90" i="17"/>
  <c r="M83" i="17"/>
  <c r="M79" i="17"/>
  <c r="M75" i="17"/>
  <c r="M71" i="17"/>
  <c r="M67" i="17"/>
  <c r="M62" i="17"/>
  <c r="M58" i="17"/>
  <c r="M54" i="17"/>
  <c r="M48" i="17"/>
  <c r="M43" i="17"/>
  <c r="M39" i="17"/>
  <c r="M35" i="17"/>
  <c r="M31" i="17"/>
  <c r="M27" i="17"/>
  <c r="M23" i="17"/>
  <c r="M19" i="17"/>
  <c r="M15" i="17"/>
  <c r="M11" i="17"/>
  <c r="M7" i="17"/>
  <c r="M149" i="17"/>
  <c r="M145" i="17"/>
  <c r="M141" i="17"/>
  <c r="M137" i="17"/>
  <c r="M133" i="17"/>
  <c r="M129" i="17"/>
  <c r="M125" i="17"/>
  <c r="M121" i="17"/>
  <c r="M117" i="17"/>
  <c r="M113" i="17"/>
  <c r="M109" i="17"/>
  <c r="M104" i="17"/>
  <c r="M100" i="17"/>
  <c r="M96" i="17"/>
  <c r="M92" i="17"/>
  <c r="M89" i="17"/>
  <c r="M86" i="17"/>
  <c r="M82" i="17"/>
  <c r="M78" i="17"/>
  <c r="M74" i="17"/>
  <c r="M70" i="17"/>
  <c r="M65" i="17"/>
  <c r="M61" i="17"/>
  <c r="M57" i="17"/>
  <c r="M53" i="17"/>
  <c r="M85" i="17"/>
  <c r="M47" i="17"/>
  <c r="M42" i="17"/>
  <c r="M38" i="17"/>
  <c r="M34" i="17"/>
  <c r="M30" i="17"/>
  <c r="M26" i="17"/>
  <c r="M22" i="17"/>
  <c r="M18" i="17"/>
  <c r="M14" i="17"/>
  <c r="M10" i="17"/>
  <c r="M6" i="17"/>
  <c r="S155" i="17" l="1"/>
  <c r="T45" i="17" s="1"/>
  <c r="AR155" i="17"/>
  <c r="M155" i="17"/>
  <c r="N45" i="17" s="1"/>
  <c r="P155" i="17"/>
  <c r="Q45" i="17" s="1"/>
  <c r="V155" i="17"/>
  <c r="W45" i="17" s="1"/>
  <c r="AQ6" i="17" l="1"/>
  <c r="J21" i="18" l="1"/>
  <c r="N18" i="18" l="1"/>
  <c r="N26" i="18"/>
  <c r="H27" i="18"/>
  <c r="K13" i="18" l="1"/>
  <c r="K12" i="18"/>
  <c r="O18" i="18"/>
  <c r="O26" i="18"/>
  <c r="N27" i="18"/>
  <c r="O27" i="18"/>
  <c r="O45" i="17" l="1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6" i="2"/>
  <c r="AT45" i="17" l="1"/>
  <c r="AC45" i="24"/>
  <c r="AD45" i="24" s="1"/>
  <c r="AE45" i="24" s="1"/>
  <c r="P155" i="24" l="1"/>
  <c r="H5" i="18" l="1"/>
  <c r="R17" i="18" l="1"/>
  <c r="R16" i="18"/>
  <c r="Q15" i="18"/>
  <c r="Q14" i="18"/>
  <c r="N24" i="18" l="1"/>
  <c r="N25" i="18"/>
  <c r="N23" i="18"/>
  <c r="L18" i="18" l="1"/>
  <c r="O25" i="18"/>
  <c r="O24" i="18"/>
  <c r="N6" i="18"/>
  <c r="P26" i="18" l="1"/>
  <c r="K20" i="18"/>
  <c r="P27" i="18"/>
  <c r="O21" i="18"/>
  <c r="N21" i="18"/>
  <c r="L10" i="18"/>
  <c r="P24" i="18"/>
  <c r="P25" i="18"/>
  <c r="N8" i="18"/>
  <c r="O8" i="18"/>
  <c r="L155" i="24" l="1"/>
  <c r="N13" i="18"/>
  <c r="L15" i="18"/>
  <c r="L14" i="18"/>
  <c r="R45" i="17" s="1"/>
  <c r="Q13" i="18"/>
  <c r="N12" i="18"/>
  <c r="AG45" i="24" l="1"/>
  <c r="AH45" i="24" s="1"/>
  <c r="AI45" i="24" s="1"/>
  <c r="M17" i="18"/>
  <c r="X45" i="17" s="1"/>
  <c r="M16" i="18"/>
  <c r="U45" i="17" s="1"/>
  <c r="N9" i="18"/>
  <c r="L11" i="18"/>
  <c r="L21" i="18" s="1"/>
  <c r="P9" i="18"/>
  <c r="O15" i="18"/>
  <c r="N15" i="18"/>
  <c r="R15" i="18"/>
  <c r="O14" i="18"/>
  <c r="N14" i="18"/>
  <c r="AU45" i="17" l="1"/>
  <c r="BD24" i="25"/>
  <c r="N10" i="18"/>
  <c r="P10" i="18"/>
  <c r="O10" i="18"/>
  <c r="P11" i="18"/>
  <c r="O11" i="18"/>
  <c r="N11" i="18"/>
  <c r="N16" i="18"/>
  <c r="Q16" i="18"/>
  <c r="O16" i="18"/>
  <c r="Q17" i="18"/>
  <c r="O17" i="18"/>
  <c r="N17" i="18"/>
  <c r="AQ24" i="17" l="1"/>
  <c r="AQ107" i="17"/>
  <c r="AQ26" i="17"/>
  <c r="AQ74" i="17"/>
  <c r="AQ33" i="17"/>
  <c r="AQ20" i="17"/>
  <c r="AQ39" i="17"/>
  <c r="AQ69" i="17"/>
  <c r="AQ21" i="17"/>
  <c r="AQ27" i="17"/>
  <c r="AQ48" i="17"/>
  <c r="AQ55" i="17"/>
  <c r="AQ19" i="17"/>
  <c r="AQ53" i="17"/>
  <c r="AQ47" i="17"/>
  <c r="AQ43" i="17"/>
  <c r="AQ115" i="17"/>
  <c r="AQ128" i="17"/>
  <c r="AQ80" i="17"/>
  <c r="AQ103" i="17"/>
  <c r="AQ76" i="17"/>
  <c r="AQ65" i="17"/>
  <c r="AQ149" i="17"/>
  <c r="AQ144" i="17"/>
  <c r="AQ148" i="17"/>
  <c r="AQ44" i="17"/>
  <c r="AQ123" i="17"/>
  <c r="AQ130" i="17"/>
  <c r="AQ142" i="17"/>
  <c r="AQ150" i="17"/>
  <c r="AQ66" i="17"/>
  <c r="AQ105" i="17"/>
  <c r="AQ40" i="17"/>
  <c r="AQ96" i="17"/>
  <c r="AQ86" i="17"/>
  <c r="AQ141" i="17"/>
  <c r="AQ29" i="17"/>
  <c r="AQ64" i="17"/>
  <c r="AQ120" i="17"/>
  <c r="AQ70" i="17"/>
  <c r="AQ41" i="17"/>
  <c r="AQ56" i="17"/>
  <c r="AI9" i="25"/>
  <c r="AK9" i="25"/>
  <c r="AQ46" i="17"/>
  <c r="AQ73" i="17"/>
  <c r="AQ137" i="17"/>
  <c r="AK6" i="25"/>
  <c r="AI6" i="25"/>
  <c r="AQ17" i="17"/>
  <c r="AQ146" i="17"/>
  <c r="AQ152" i="17"/>
  <c r="AQ106" i="17"/>
  <c r="AQ134" i="17"/>
  <c r="AQ95" i="17"/>
  <c r="AQ61" i="17"/>
  <c r="AQ125" i="17"/>
  <c r="AQ28" i="17"/>
  <c r="AQ59" i="17"/>
  <c r="AQ112" i="17"/>
  <c r="AQ51" i="17"/>
  <c r="AQ58" i="17"/>
  <c r="AQ109" i="17"/>
  <c r="AQ131" i="17"/>
  <c r="AQ77" i="17"/>
  <c r="AQ49" i="17"/>
  <c r="AQ38" i="17"/>
  <c r="AQ62" i="17"/>
  <c r="AQ143" i="17"/>
  <c r="AQ57" i="17"/>
  <c r="AQ92" i="17"/>
  <c r="AQ132" i="17"/>
  <c r="AQ84" i="17"/>
  <c r="AQ37" i="17"/>
  <c r="AQ34" i="17"/>
  <c r="AQ52" i="17"/>
  <c r="AQ122" i="17"/>
  <c r="AQ30" i="17"/>
  <c r="AQ101" i="17"/>
  <c r="AQ63" i="17"/>
  <c r="AQ90" i="17"/>
  <c r="AQ104" i="17"/>
  <c r="AQ118" i="17"/>
  <c r="AQ81" i="17"/>
  <c r="AQ151" i="17"/>
  <c r="AQ72" i="17"/>
  <c r="AQ50" i="17"/>
  <c r="AQ25" i="17"/>
  <c r="AQ91" i="17"/>
  <c r="AQ94" i="17"/>
  <c r="AQ35" i="17"/>
  <c r="AQ127" i="17"/>
  <c r="AQ36" i="17"/>
  <c r="AQ14" i="17"/>
  <c r="AQ23" i="17"/>
  <c r="AQ71" i="17"/>
  <c r="AQ83" i="17"/>
  <c r="AQ138" i="17"/>
  <c r="AQ68" i="17"/>
  <c r="AQ110" i="17"/>
  <c r="AQ79" i="17"/>
  <c r="AQ116" i="17"/>
  <c r="AQ124" i="17"/>
  <c r="AQ133" i="17"/>
  <c r="AQ97" i="17"/>
  <c r="AQ113" i="17"/>
  <c r="AQ114" i="17"/>
  <c r="AQ16" i="17"/>
  <c r="AQ102" i="17"/>
  <c r="AQ78" i="17"/>
  <c r="AQ126" i="17"/>
  <c r="AQ145" i="17"/>
  <c r="AQ42" i="17"/>
  <c r="AQ15" i="17"/>
  <c r="AQ89" i="17"/>
  <c r="AQ117" i="17"/>
  <c r="AQ12" i="17"/>
  <c r="AQ93" i="17"/>
  <c r="AQ119" i="17"/>
  <c r="AQ100" i="17"/>
  <c r="AQ87" i="17"/>
  <c r="AQ153" i="17"/>
  <c r="AQ98" i="17"/>
  <c r="AQ147" i="17"/>
  <c r="AQ18" i="17"/>
  <c r="AQ136" i="17"/>
  <c r="AQ111" i="17"/>
  <c r="AQ154" i="17"/>
  <c r="AQ67" i="17"/>
  <c r="AQ10" i="17"/>
  <c r="AQ8" i="17"/>
  <c r="AK15" i="25"/>
  <c r="AQ99" i="17"/>
  <c r="AQ32" i="17"/>
  <c r="AQ13" i="17"/>
  <c r="AQ9" i="17"/>
  <c r="AQ85" i="17"/>
  <c r="AQ135" i="17"/>
  <c r="AQ82" i="17"/>
  <c r="AQ139" i="17"/>
  <c r="AQ121" i="17"/>
  <c r="AQ11" i="17"/>
  <c r="AQ75" i="17"/>
  <c r="AQ60" i="17"/>
  <c r="AQ140" i="17"/>
  <c r="AQ31" i="17"/>
  <c r="AQ129" i="17"/>
  <c r="AQ108" i="17"/>
  <c r="AQ54" i="17"/>
  <c r="AQ22" i="17"/>
  <c r="AK16" i="25"/>
  <c r="AQ88" i="17"/>
  <c r="AQ7" i="17"/>
  <c r="AI10" i="25" l="1"/>
  <c r="AI15" i="25"/>
  <c r="AI8" i="25"/>
  <c r="AK23" i="25"/>
  <c r="AI12" i="25"/>
  <c r="AI7" i="25"/>
  <c r="AI19" i="25"/>
  <c r="AK13" i="25"/>
  <c r="AI14" i="25"/>
  <c r="AI21" i="25"/>
  <c r="AK18" i="25"/>
  <c r="AI22" i="25"/>
  <c r="AI17" i="25"/>
  <c r="AK19" i="25"/>
  <c r="AK17" i="25"/>
  <c r="AI13" i="25"/>
  <c r="AK14" i="25"/>
  <c r="AK21" i="25"/>
  <c r="AI18" i="25"/>
  <c r="AK22" i="25"/>
  <c r="AI16" i="25"/>
  <c r="AK10" i="25"/>
  <c r="AK8" i="25"/>
  <c r="AI23" i="25"/>
  <c r="AK7" i="25"/>
  <c r="AI20" i="25"/>
  <c r="AK11" i="25"/>
  <c r="AK12" i="25"/>
  <c r="AK20" i="25"/>
  <c r="AI11" i="25"/>
  <c r="AK155" i="17"/>
  <c r="AC155" i="17"/>
  <c r="AQ155" i="17"/>
  <c r="AI155" i="17"/>
  <c r="AA155" i="17"/>
  <c r="F155" i="17"/>
  <c r="Q63" i="17"/>
  <c r="R63" i="17" s="1"/>
  <c r="N31" i="17"/>
  <c r="O31" i="17" s="1"/>
  <c r="AC31" i="24" s="1"/>
  <c r="AD31" i="24" s="1"/>
  <c r="AE31" i="24" s="1"/>
  <c r="W18" i="17"/>
  <c r="X18" i="17" s="1"/>
  <c r="B155" i="24"/>
  <c r="AM13" i="25"/>
  <c r="AB6" i="25"/>
  <c r="B155" i="17"/>
  <c r="AM11" i="25"/>
  <c r="AM9" i="25"/>
  <c r="AM6" i="25"/>
  <c r="AM21" i="25"/>
  <c r="AA6" i="25"/>
  <c r="AB12" i="25"/>
  <c r="AB18" i="25"/>
  <c r="V10" i="25"/>
  <c r="S13" i="25"/>
  <c r="V17" i="25"/>
  <c r="M21" i="25"/>
  <c r="P20" i="25"/>
  <c r="B22" i="25"/>
  <c r="V15" i="25"/>
  <c r="S20" i="25"/>
  <c r="S19" i="25"/>
  <c r="C23" i="25"/>
  <c r="B9" i="25"/>
  <c r="D11" i="25"/>
  <c r="M17" i="25"/>
  <c r="AP10" i="25"/>
  <c r="S23" i="25"/>
  <c r="M7" i="25"/>
  <c r="V18" i="25"/>
  <c r="S12" i="25"/>
  <c r="S9" i="25"/>
  <c r="E10" i="25"/>
  <c r="P11" i="25"/>
  <c r="D19" i="25"/>
  <c r="C12" i="25"/>
  <c r="AP13" i="25"/>
  <c r="M9" i="25"/>
  <c r="S7" i="25"/>
  <c r="F11" i="25"/>
  <c r="B13" i="25"/>
  <c r="E13" i="25"/>
  <c r="P18" i="25"/>
  <c r="C21" i="25"/>
  <c r="D7" i="25"/>
  <c r="B15" i="25"/>
  <c r="D12" i="25"/>
  <c r="S16" i="25"/>
  <c r="M15" i="25"/>
  <c r="M13" i="25"/>
  <c r="S15" i="25"/>
  <c r="F20" i="25"/>
  <c r="P13" i="25"/>
  <c r="P12" i="25"/>
  <c r="D15" i="25"/>
  <c r="C16" i="25"/>
  <c r="E14" i="25"/>
  <c r="AP17" i="25"/>
  <c r="AP8" i="25"/>
  <c r="S10" i="25"/>
  <c r="M14" i="25"/>
  <c r="D8" i="25"/>
  <c r="B23" i="25"/>
  <c r="E23" i="25"/>
  <c r="E19" i="25"/>
  <c r="B14" i="25"/>
  <c r="D22" i="25"/>
  <c r="F19" i="25"/>
  <c r="P23" i="25"/>
  <c r="V11" i="25"/>
  <c r="V16" i="25"/>
  <c r="D18" i="25"/>
  <c r="E7" i="25"/>
  <c r="P15" i="25"/>
  <c r="AP9" i="25"/>
  <c r="M20" i="25"/>
  <c r="F17" i="25"/>
  <c r="S18" i="25"/>
  <c r="M19" i="25"/>
  <c r="M18" i="25"/>
  <c r="P8" i="25"/>
  <c r="B19" i="25"/>
  <c r="B16" i="25"/>
  <c r="C19" i="25"/>
  <c r="C15" i="25"/>
  <c r="B20" i="25"/>
  <c r="C9" i="25"/>
  <c r="AP18" i="25"/>
  <c r="F14" i="25"/>
  <c r="P22" i="25"/>
  <c r="V22" i="25"/>
  <c r="E22" i="25"/>
  <c r="AP16" i="25"/>
  <c r="F8" i="25"/>
  <c r="E17" i="25"/>
  <c r="E15" i="25"/>
  <c r="V19" i="25"/>
  <c r="F22" i="25"/>
  <c r="B10" i="25"/>
  <c r="E16" i="25"/>
  <c r="F9" i="25"/>
  <c r="M16" i="25"/>
  <c r="C7" i="25"/>
  <c r="P19" i="25"/>
  <c r="C8" i="25"/>
  <c r="V7" i="25"/>
  <c r="V12" i="25"/>
  <c r="M23" i="25"/>
  <c r="S11" i="25"/>
  <c r="V23" i="25"/>
  <c r="B8" i="25"/>
  <c r="E20" i="25"/>
  <c r="V9" i="25"/>
  <c r="P9" i="25"/>
  <c r="D13" i="25"/>
  <c r="AP14" i="25"/>
  <c r="M8" i="25"/>
  <c r="D14" i="25"/>
  <c r="AP12" i="25"/>
  <c r="E11" i="25"/>
  <c r="C10" i="25"/>
  <c r="B11" i="25"/>
  <c r="D17" i="25"/>
  <c r="AP15" i="25"/>
  <c r="V21" i="25"/>
  <c r="C22" i="25"/>
  <c r="S14" i="25"/>
  <c r="B17" i="25"/>
  <c r="E21" i="25"/>
  <c r="F16" i="25"/>
  <c r="F15" i="25"/>
  <c r="C11" i="25"/>
  <c r="AP20" i="25"/>
  <c r="F21" i="25"/>
  <c r="F7" i="25"/>
  <c r="V14" i="25"/>
  <c r="F23" i="25"/>
  <c r="B21" i="25"/>
  <c r="C14" i="25"/>
  <c r="F12" i="25"/>
  <c r="S22" i="25"/>
  <c r="F13" i="25"/>
  <c r="B7" i="25"/>
  <c r="C18" i="25"/>
  <c r="D16" i="25"/>
  <c r="AP19" i="25"/>
  <c r="S8" i="25"/>
  <c r="M12" i="25"/>
  <c r="M10" i="25"/>
  <c r="D9" i="25"/>
  <c r="D20" i="25"/>
  <c r="E18" i="25"/>
  <c r="B12" i="25"/>
  <c r="E8" i="25"/>
  <c r="AP22" i="25"/>
  <c r="P21" i="25"/>
  <c r="P14" i="25"/>
  <c r="E12" i="25"/>
  <c r="M22" i="25"/>
  <c r="C13" i="25"/>
  <c r="D21" i="25"/>
  <c r="S17" i="25"/>
  <c r="C20" i="25"/>
  <c r="F18" i="25"/>
  <c r="S21" i="25"/>
  <c r="D23" i="25"/>
  <c r="E9" i="25"/>
  <c r="C17" i="25"/>
  <c r="M11" i="25"/>
  <c r="AP11" i="25"/>
  <c r="V8" i="25"/>
  <c r="V13" i="25"/>
  <c r="P17" i="25"/>
  <c r="V20" i="25"/>
  <c r="P16" i="25"/>
  <c r="D10" i="25"/>
  <c r="F10" i="25"/>
  <c r="AP21" i="25"/>
  <c r="P7" i="25"/>
  <c r="AP7" i="25"/>
  <c r="AP23" i="25"/>
  <c r="P10" i="25"/>
  <c r="B18" i="25"/>
  <c r="V6" i="25"/>
  <c r="AB11" i="25"/>
  <c r="AA15" i="25"/>
  <c r="AB13" i="25"/>
  <c r="AB20" i="25"/>
  <c r="B6" i="25"/>
  <c r="AB14" i="25"/>
  <c r="AB9" i="25"/>
  <c r="AB23" i="25"/>
  <c r="AA16" i="25"/>
  <c r="AA22" i="25"/>
  <c r="M6" i="25"/>
  <c r="F6" i="25"/>
  <c r="P6" i="25"/>
  <c r="AB21" i="25"/>
  <c r="AB8" i="25"/>
  <c r="AB22" i="25"/>
  <c r="C6" i="25"/>
  <c r="D6" i="25"/>
  <c r="AA17" i="25"/>
  <c r="AA11" i="25"/>
  <c r="E6" i="25"/>
  <c r="AB16" i="25"/>
  <c r="AA13" i="25"/>
  <c r="AA10" i="25"/>
  <c r="AA9" i="25"/>
  <c r="S6" i="25"/>
  <c r="AA19" i="25"/>
  <c r="AA18" i="25"/>
  <c r="AA8" i="25"/>
  <c r="AA12" i="25"/>
  <c r="AB10" i="25"/>
  <c r="AA21" i="25"/>
  <c r="AP6" i="25"/>
  <c r="AA7" i="25"/>
  <c r="AB17" i="25"/>
  <c r="AB19" i="25"/>
  <c r="AB15" i="25"/>
  <c r="AB7" i="25"/>
  <c r="AA14" i="25"/>
  <c r="AA20" i="25"/>
  <c r="AA23" i="25"/>
  <c r="AM24" i="25" l="1"/>
  <c r="AM23" i="25"/>
  <c r="AM20" i="25"/>
  <c r="AM8" i="25"/>
  <c r="AM18" i="25"/>
  <c r="AM17" i="25"/>
  <c r="AM14" i="25"/>
  <c r="AM10" i="25"/>
  <c r="AR15" i="25"/>
  <c r="AR6" i="25"/>
  <c r="AR22" i="25"/>
  <c r="AR23" i="25"/>
  <c r="AR10" i="25"/>
  <c r="AR8" i="25"/>
  <c r="AR13" i="25"/>
  <c r="AR20" i="25"/>
  <c r="AR11" i="25"/>
  <c r="AR9" i="25"/>
  <c r="AR7" i="25"/>
  <c r="AR16" i="25"/>
  <c r="AR21" i="25"/>
  <c r="AR14" i="25"/>
  <c r="AR18" i="25"/>
  <c r="AR19" i="25"/>
  <c r="AR12" i="25"/>
  <c r="AR17" i="25"/>
  <c r="N40" i="17"/>
  <c r="N154" i="17"/>
  <c r="Q42" i="17"/>
  <c r="R42" i="17" s="1"/>
  <c r="Q143" i="17"/>
  <c r="R143" i="17" s="1"/>
  <c r="Q148" i="17"/>
  <c r="R148" i="17" s="1"/>
  <c r="AM22" i="25"/>
  <c r="N110" i="17"/>
  <c r="O110" i="17" s="1"/>
  <c r="N123" i="17"/>
  <c r="N115" i="17"/>
  <c r="N143" i="17"/>
  <c r="N32" i="17"/>
  <c r="N12" i="17"/>
  <c r="N133" i="17"/>
  <c r="N41" i="17"/>
  <c r="N26" i="17"/>
  <c r="N85" i="17"/>
  <c r="N62" i="17"/>
  <c r="N14" i="17"/>
  <c r="O14" i="17" s="1"/>
  <c r="AO6" i="25"/>
  <c r="AQ6" i="25" s="1"/>
  <c r="AM7" i="25"/>
  <c r="T104" i="17"/>
  <c r="U104" i="17" s="1"/>
  <c r="AM19" i="25"/>
  <c r="AO7" i="25"/>
  <c r="AO12" i="25"/>
  <c r="AM12" i="25"/>
  <c r="AO15" i="25"/>
  <c r="AM16" i="25"/>
  <c r="AO18" i="25"/>
  <c r="AM15" i="25"/>
  <c r="T147" i="17"/>
  <c r="U147" i="17" s="1"/>
  <c r="T108" i="17"/>
  <c r="U108" i="17" s="1"/>
  <c r="Q133" i="17"/>
  <c r="R133" i="17" s="1"/>
  <c r="T88" i="17"/>
  <c r="U88" i="17" s="1"/>
  <c r="T148" i="17"/>
  <c r="U148" i="17" s="1"/>
  <c r="Q149" i="17"/>
  <c r="R149" i="17" s="1"/>
  <c r="Q132" i="17"/>
  <c r="R132" i="17" s="1"/>
  <c r="T90" i="17"/>
  <c r="U90" i="17" s="1"/>
  <c r="T39" i="17"/>
  <c r="U39" i="17" s="1"/>
  <c r="Q97" i="17"/>
  <c r="R97" i="17" s="1"/>
  <c r="T138" i="17"/>
  <c r="U138" i="17" s="1"/>
  <c r="T143" i="17"/>
  <c r="U143" i="17" s="1"/>
  <c r="Q51" i="17"/>
  <c r="R51" i="17" s="1"/>
  <c r="N89" i="17"/>
  <c r="T145" i="17"/>
  <c r="U145" i="17" s="1"/>
  <c r="T64" i="17"/>
  <c r="U64" i="17" s="1"/>
  <c r="Q116" i="17"/>
  <c r="R116" i="17" s="1"/>
  <c r="T44" i="17"/>
  <c r="U44" i="17" s="1"/>
  <c r="T60" i="17"/>
  <c r="U60" i="17" s="1"/>
  <c r="T84" i="17"/>
  <c r="U84" i="17" s="1"/>
  <c r="Q102" i="17"/>
  <c r="R102" i="17" s="1"/>
  <c r="Q89" i="17"/>
  <c r="R89" i="17" s="1"/>
  <c r="T34" i="17"/>
  <c r="U34" i="17" s="1"/>
  <c r="Q109" i="17"/>
  <c r="R109" i="17" s="1"/>
  <c r="T22" i="17"/>
  <c r="U22" i="17" s="1"/>
  <c r="Q92" i="17"/>
  <c r="R92" i="17" s="1"/>
  <c r="Q91" i="17"/>
  <c r="R91" i="17" s="1"/>
  <c r="T85" i="17"/>
  <c r="U85" i="17" s="1"/>
  <c r="T103" i="17"/>
  <c r="U103" i="17" s="1"/>
  <c r="Q66" i="17"/>
  <c r="R66" i="17" s="1"/>
  <c r="Q52" i="17"/>
  <c r="R52" i="17" s="1"/>
  <c r="Q54" i="17"/>
  <c r="R54" i="17" s="1"/>
  <c r="T20" i="17"/>
  <c r="U20" i="17" s="1"/>
  <c r="T58" i="17"/>
  <c r="U58" i="17" s="1"/>
  <c r="T15" i="17"/>
  <c r="U15" i="17" s="1"/>
  <c r="T31" i="17"/>
  <c r="U31" i="17" s="1"/>
  <c r="T14" i="17"/>
  <c r="U14" i="17" s="1"/>
  <c r="T131" i="17"/>
  <c r="U131" i="17" s="1"/>
  <c r="T13" i="17"/>
  <c r="U13" i="17" s="1"/>
  <c r="T23" i="17"/>
  <c r="U23" i="17" s="1"/>
  <c r="Q27" i="17"/>
  <c r="R27" i="17" s="1"/>
  <c r="T102" i="17"/>
  <c r="U102" i="17" s="1"/>
  <c r="T137" i="17"/>
  <c r="U137" i="17" s="1"/>
  <c r="T83" i="17"/>
  <c r="U83" i="17" s="1"/>
  <c r="T91" i="17"/>
  <c r="U91" i="17" s="1"/>
  <c r="T29" i="17"/>
  <c r="U29" i="17" s="1"/>
  <c r="T152" i="17"/>
  <c r="U152" i="17" s="1"/>
  <c r="Q83" i="17"/>
  <c r="R83" i="17" s="1"/>
  <c r="Q35" i="17"/>
  <c r="R35" i="17" s="1"/>
  <c r="Q7" i="17"/>
  <c r="R7" i="17" s="1"/>
  <c r="Q93" i="17"/>
  <c r="R93" i="17" s="1"/>
  <c r="Q131" i="17"/>
  <c r="R131" i="17" s="1"/>
  <c r="T19" i="17"/>
  <c r="U19" i="17" s="1"/>
  <c r="T37" i="17"/>
  <c r="U37" i="17" s="1"/>
  <c r="T132" i="17"/>
  <c r="U132" i="17" s="1"/>
  <c r="T121" i="17"/>
  <c r="U121" i="17" s="1"/>
  <c r="T71" i="17"/>
  <c r="U71" i="17" s="1"/>
  <c r="T139" i="17"/>
  <c r="U139" i="17" s="1"/>
  <c r="Q28" i="17"/>
  <c r="R28" i="17" s="1"/>
  <c r="Q73" i="17"/>
  <c r="R73" i="17" s="1"/>
  <c r="T142" i="17"/>
  <c r="U142" i="17" s="1"/>
  <c r="T54" i="17"/>
  <c r="U54" i="17" s="1"/>
  <c r="T130" i="17"/>
  <c r="U130" i="17" s="1"/>
  <c r="T70" i="17"/>
  <c r="U70" i="17" s="1"/>
  <c r="T76" i="17"/>
  <c r="U76" i="17" s="1"/>
  <c r="Q81" i="17"/>
  <c r="R81" i="17" s="1"/>
  <c r="Q101" i="17"/>
  <c r="R101" i="17" s="1"/>
  <c r="Q84" i="17"/>
  <c r="R84" i="17" s="1"/>
  <c r="Q79" i="17"/>
  <c r="R79" i="17" s="1"/>
  <c r="Q107" i="17"/>
  <c r="R107" i="17" s="1"/>
  <c r="Q14" i="17"/>
  <c r="R14" i="17" s="1"/>
  <c r="N65" i="17"/>
  <c r="N95" i="17"/>
  <c r="N34" i="17"/>
  <c r="N129" i="17"/>
  <c r="N140" i="17"/>
  <c r="N10" i="17"/>
  <c r="N28" i="17"/>
  <c r="N50" i="17"/>
  <c r="N153" i="17"/>
  <c r="N113" i="17"/>
  <c r="N91" i="17"/>
  <c r="N87" i="17"/>
  <c r="N59" i="17"/>
  <c r="N39" i="17"/>
  <c r="N74" i="17"/>
  <c r="N58" i="17"/>
  <c r="N8" i="17"/>
  <c r="N13" i="17"/>
  <c r="N86" i="17"/>
  <c r="N33" i="17"/>
  <c r="N131" i="17"/>
  <c r="N44" i="17"/>
  <c r="N109" i="17"/>
  <c r="N64" i="17"/>
  <c r="N27" i="17"/>
  <c r="N99" i="17"/>
  <c r="N94" i="17"/>
  <c r="N93" i="17"/>
  <c r="N152" i="17"/>
  <c r="N11" i="17"/>
  <c r="N83" i="17"/>
  <c r="N9" i="17"/>
  <c r="N100" i="17"/>
  <c r="N96" i="17"/>
  <c r="N105" i="17"/>
  <c r="N52" i="17"/>
  <c r="N119" i="17"/>
  <c r="N151" i="17"/>
  <c r="N78" i="17"/>
  <c r="N35" i="17"/>
  <c r="N147" i="17"/>
  <c r="N71" i="17"/>
  <c r="N20" i="17"/>
  <c r="N7" i="17"/>
  <c r="AO17" i="25"/>
  <c r="AQ17" i="25" s="1"/>
  <c r="AO13" i="25"/>
  <c r="AQ13" i="25" s="1"/>
  <c r="AO10" i="25"/>
  <c r="T118" i="17"/>
  <c r="U118" i="17" s="1"/>
  <c r="T117" i="17"/>
  <c r="U117" i="17" s="1"/>
  <c r="T93" i="17"/>
  <c r="U93" i="17" s="1"/>
  <c r="T79" i="17"/>
  <c r="U79" i="17" s="1"/>
  <c r="T89" i="17"/>
  <c r="U89" i="17" s="1"/>
  <c r="Q62" i="17"/>
  <c r="R62" i="17" s="1"/>
  <c r="T81" i="17"/>
  <c r="U81" i="17" s="1"/>
  <c r="Q137" i="17"/>
  <c r="R137" i="17" s="1"/>
  <c r="Q56" i="17"/>
  <c r="R56" i="17" s="1"/>
  <c r="Q111" i="17"/>
  <c r="R111" i="17" s="1"/>
  <c r="T135" i="17"/>
  <c r="U135" i="17" s="1"/>
  <c r="T136" i="17"/>
  <c r="U136" i="17" s="1"/>
  <c r="T86" i="17"/>
  <c r="U86" i="17" s="1"/>
  <c r="T140" i="17"/>
  <c r="U140" i="17" s="1"/>
  <c r="T115" i="17"/>
  <c r="U115" i="17" s="1"/>
  <c r="T107" i="17"/>
  <c r="U107" i="17" s="1"/>
  <c r="Q105" i="17"/>
  <c r="R105" i="17" s="1"/>
  <c r="Q112" i="17"/>
  <c r="R112" i="17" s="1"/>
  <c r="Q121" i="17"/>
  <c r="R121" i="17" s="1"/>
  <c r="Q11" i="17"/>
  <c r="R11" i="17" s="1"/>
  <c r="Q95" i="17"/>
  <c r="R95" i="17" s="1"/>
  <c r="Q119" i="17"/>
  <c r="R119" i="17" s="1"/>
  <c r="T80" i="17"/>
  <c r="U80" i="17" s="1"/>
  <c r="AD24" i="25"/>
  <c r="S24" i="25"/>
  <c r="AE24" i="25"/>
  <c r="AP24" i="25"/>
  <c r="C24" i="25"/>
  <c r="M24" i="25"/>
  <c r="AJ24" i="25"/>
  <c r="AG24" i="25"/>
  <c r="B24" i="25"/>
  <c r="P24" i="25"/>
  <c r="AC24" i="25"/>
  <c r="AA24" i="25"/>
  <c r="AH24" i="25"/>
  <c r="AB24" i="25"/>
  <c r="E24" i="25"/>
  <c r="D24" i="25"/>
  <c r="F24" i="25"/>
  <c r="AF24" i="25"/>
  <c r="V24" i="25"/>
  <c r="AO21" i="25"/>
  <c r="AQ21" i="25" s="1"/>
  <c r="AO20" i="25"/>
  <c r="AQ20" i="25" s="1"/>
  <c r="AO14" i="25"/>
  <c r="AQ14" i="25" s="1"/>
  <c r="AO9" i="25"/>
  <c r="AQ9" i="25" s="1"/>
  <c r="AO8" i="25"/>
  <c r="AQ8" i="25" s="1"/>
  <c r="T43" i="17"/>
  <c r="U43" i="17" s="1"/>
  <c r="T59" i="17"/>
  <c r="U59" i="17" s="1"/>
  <c r="T48" i="17"/>
  <c r="U48" i="17" s="1"/>
  <c r="T119" i="17"/>
  <c r="U119" i="17" s="1"/>
  <c r="T56" i="17"/>
  <c r="U56" i="17" s="1"/>
  <c r="T36" i="17"/>
  <c r="U36" i="17" s="1"/>
  <c r="T113" i="17"/>
  <c r="U113" i="17" s="1"/>
  <c r="T40" i="17"/>
  <c r="U40" i="17" s="1"/>
  <c r="T24" i="17"/>
  <c r="U24" i="17" s="1"/>
  <c r="T55" i="17"/>
  <c r="U55" i="17" s="1"/>
  <c r="T120" i="17"/>
  <c r="U120" i="17" s="1"/>
  <c r="T33" i="17"/>
  <c r="U33" i="17" s="1"/>
  <c r="T105" i="17"/>
  <c r="U105" i="17" s="1"/>
  <c r="T62" i="17"/>
  <c r="U62" i="17" s="1"/>
  <c r="T100" i="17"/>
  <c r="U100" i="17" s="1"/>
  <c r="T98" i="17"/>
  <c r="U98" i="17" s="1"/>
  <c r="T128" i="17"/>
  <c r="U128" i="17" s="1"/>
  <c r="T153" i="17"/>
  <c r="U153" i="17" s="1"/>
  <c r="T63" i="17"/>
  <c r="U63" i="17" s="1"/>
  <c r="T124" i="17"/>
  <c r="U124" i="17" s="1"/>
  <c r="T87" i="17"/>
  <c r="U87" i="17" s="1"/>
  <c r="T6" i="17"/>
  <c r="T25" i="17"/>
  <c r="U25" i="17" s="1"/>
  <c r="T49" i="17"/>
  <c r="U49" i="17" s="1"/>
  <c r="T50" i="17"/>
  <c r="U50" i="17" s="1"/>
  <c r="T61" i="17"/>
  <c r="U61" i="17" s="1"/>
  <c r="T92" i="17"/>
  <c r="U92" i="17" s="1"/>
  <c r="T110" i="17"/>
  <c r="U110" i="17" s="1"/>
  <c r="T18" i="17"/>
  <c r="U18" i="17" s="1"/>
  <c r="T154" i="17"/>
  <c r="U154" i="17" s="1"/>
  <c r="T125" i="17"/>
  <c r="U125" i="17" s="1"/>
  <c r="T150" i="17"/>
  <c r="U150" i="17" s="1"/>
  <c r="T47" i="17"/>
  <c r="U47" i="17" s="1"/>
  <c r="T149" i="17"/>
  <c r="U149" i="17" s="1"/>
  <c r="T134" i="17"/>
  <c r="U134" i="17" s="1"/>
  <c r="T69" i="17"/>
  <c r="U69" i="17" s="1"/>
  <c r="T97" i="17"/>
  <c r="U97" i="17" s="1"/>
  <c r="T28" i="17"/>
  <c r="U28" i="17" s="1"/>
  <c r="T52" i="17"/>
  <c r="U52" i="17" s="1"/>
  <c r="T129" i="17"/>
  <c r="U129" i="17" s="1"/>
  <c r="T151" i="17"/>
  <c r="U151" i="17" s="1"/>
  <c r="T17" i="17"/>
  <c r="U17" i="17" s="1"/>
  <c r="T10" i="17"/>
  <c r="U10" i="17" s="1"/>
  <c r="T9" i="17"/>
  <c r="U9" i="17" s="1"/>
  <c r="T116" i="17"/>
  <c r="U116" i="17" s="1"/>
  <c r="T94" i="17"/>
  <c r="U94" i="17" s="1"/>
  <c r="T111" i="17"/>
  <c r="U111" i="17" s="1"/>
  <c r="T35" i="17"/>
  <c r="U35" i="17" s="1"/>
  <c r="T75" i="17"/>
  <c r="U75" i="17" s="1"/>
  <c r="T101" i="17"/>
  <c r="U101" i="17" s="1"/>
  <c r="T74" i="17"/>
  <c r="U74" i="17" s="1"/>
  <c r="T53" i="17"/>
  <c r="U53" i="17" s="1"/>
  <c r="AO11" i="25"/>
  <c r="AQ11" i="25" s="1"/>
  <c r="T26" i="17"/>
  <c r="U26" i="17" s="1"/>
  <c r="T141" i="17"/>
  <c r="U141" i="17" s="1"/>
  <c r="T77" i="17"/>
  <c r="U77" i="17" s="1"/>
  <c r="T38" i="17"/>
  <c r="U38" i="17" s="1"/>
  <c r="T57" i="17"/>
  <c r="U57" i="17" s="1"/>
  <c r="T106" i="17"/>
  <c r="U106" i="17" s="1"/>
  <c r="T42" i="17"/>
  <c r="U42" i="17" s="1"/>
  <c r="T51" i="17"/>
  <c r="U51" i="17" s="1"/>
  <c r="T12" i="17"/>
  <c r="U12" i="17" s="1"/>
  <c r="T82" i="17"/>
  <c r="U82" i="17" s="1"/>
  <c r="T73" i="17"/>
  <c r="U73" i="17" s="1"/>
  <c r="T16" i="17"/>
  <c r="U16" i="17" s="1"/>
  <c r="T127" i="17"/>
  <c r="U127" i="17" s="1"/>
  <c r="T112" i="17"/>
  <c r="U112" i="17" s="1"/>
  <c r="T68" i="17"/>
  <c r="U68" i="17" s="1"/>
  <c r="T144" i="17"/>
  <c r="U144" i="17" s="1"/>
  <c r="T7" i="17"/>
  <c r="U7" i="17" s="1"/>
  <c r="T41" i="17"/>
  <c r="U41" i="17" s="1"/>
  <c r="T146" i="17"/>
  <c r="U146" i="17" s="1"/>
  <c r="T114" i="17"/>
  <c r="U114" i="17" s="1"/>
  <c r="T72" i="17"/>
  <c r="U72" i="17" s="1"/>
  <c r="T99" i="17"/>
  <c r="U99" i="17" s="1"/>
  <c r="T126" i="17"/>
  <c r="U126" i="17" s="1"/>
  <c r="T66" i="17"/>
  <c r="U66" i="17" s="1"/>
  <c r="T95" i="17"/>
  <c r="U95" i="17" s="1"/>
  <c r="T32" i="17"/>
  <c r="U32" i="17" s="1"/>
  <c r="T109" i="17"/>
  <c r="U109" i="17" s="1"/>
  <c r="T30" i="17"/>
  <c r="U30" i="17" s="1"/>
  <c r="T8" i="17"/>
  <c r="U8" i="17" s="1"/>
  <c r="T11" i="17"/>
  <c r="U11" i="17" s="1"/>
  <c r="T67" i="17"/>
  <c r="U67" i="17" s="1"/>
  <c r="T78" i="17"/>
  <c r="U78" i="17" s="1"/>
  <c r="T65" i="17"/>
  <c r="U65" i="17" s="1"/>
  <c r="T96" i="17"/>
  <c r="U96" i="17" s="1"/>
  <c r="T123" i="17"/>
  <c r="U123" i="17" s="1"/>
  <c r="T46" i="17"/>
  <c r="U46" i="17" s="1"/>
  <c r="T27" i="17"/>
  <c r="U27" i="17" s="1"/>
  <c r="T21" i="17"/>
  <c r="U21" i="17" s="1"/>
  <c r="T133" i="17"/>
  <c r="U133" i="17" s="1"/>
  <c r="T122" i="17"/>
  <c r="U122" i="17" s="1"/>
  <c r="N46" i="17"/>
  <c r="N15" i="17"/>
  <c r="N68" i="17"/>
  <c r="N61" i="17"/>
  <c r="N51" i="17"/>
  <c r="N116" i="17"/>
  <c r="N101" i="17"/>
  <c r="N57" i="17"/>
  <c r="N121" i="17"/>
  <c r="N111" i="17"/>
  <c r="N55" i="17"/>
  <c r="W7" i="17"/>
  <c r="X7" i="17" s="1"/>
  <c r="N23" i="17"/>
  <c r="N132" i="17"/>
  <c r="N18" i="17"/>
  <c r="N73" i="17"/>
  <c r="N128" i="17"/>
  <c r="W76" i="17"/>
  <c r="X76" i="17" s="1"/>
  <c r="Q78" i="17"/>
  <c r="R78" i="17" s="1"/>
  <c r="W15" i="17"/>
  <c r="X15" i="17" s="1"/>
  <c r="W37" i="17"/>
  <c r="X37" i="17" s="1"/>
  <c r="W67" i="17"/>
  <c r="X67" i="17" s="1"/>
  <c r="W55" i="17"/>
  <c r="X55" i="17" s="1"/>
  <c r="W108" i="17"/>
  <c r="X108" i="17" s="1"/>
  <c r="N112" i="17"/>
  <c r="N67" i="17"/>
  <c r="N54" i="17"/>
  <c r="N77" i="17"/>
  <c r="Q86" i="17"/>
  <c r="R86" i="17" s="1"/>
  <c r="N84" i="17"/>
  <c r="N60" i="17"/>
  <c r="N108" i="17"/>
  <c r="N135" i="17"/>
  <c r="N138" i="17"/>
  <c r="N148" i="17"/>
  <c r="N72" i="17"/>
  <c r="N92" i="17"/>
  <c r="N103" i="17"/>
  <c r="Q138" i="17"/>
  <c r="R138" i="17" s="1"/>
  <c r="W98" i="17"/>
  <c r="X98" i="17" s="1"/>
  <c r="W17" i="17"/>
  <c r="X17" i="17" s="1"/>
  <c r="N22" i="17"/>
  <c r="N88" i="17"/>
  <c r="N145" i="17"/>
  <c r="N63" i="17"/>
  <c r="N30" i="17"/>
  <c r="N69" i="17"/>
  <c r="N118" i="17"/>
  <c r="N142" i="17"/>
  <c r="N25" i="17"/>
  <c r="N66" i="17"/>
  <c r="N125" i="17"/>
  <c r="N107" i="17"/>
  <c r="Q104" i="17"/>
  <c r="R104" i="17" s="1"/>
  <c r="Q38" i="17"/>
  <c r="R38" i="17" s="1"/>
  <c r="Q55" i="17"/>
  <c r="R55" i="17" s="1"/>
  <c r="Q76" i="17"/>
  <c r="R76" i="17" s="1"/>
  <c r="N76" i="17"/>
  <c r="N75" i="17"/>
  <c r="N104" i="17"/>
  <c r="N6" i="17"/>
  <c r="N122" i="17"/>
  <c r="N106" i="17"/>
  <c r="N124" i="17"/>
  <c r="N16" i="17"/>
  <c r="N149" i="17"/>
  <c r="N137" i="17"/>
  <c r="N127" i="17"/>
  <c r="N139" i="17"/>
  <c r="N24" i="17"/>
  <c r="N144" i="17"/>
  <c r="N102" i="17"/>
  <c r="N70" i="17"/>
  <c r="N150" i="17"/>
  <c r="N43" i="17"/>
  <c r="N48" i="17"/>
  <c r="N37" i="17"/>
  <c r="N49" i="17"/>
  <c r="N80" i="17"/>
  <c r="W43" i="17"/>
  <c r="X43" i="17" s="1"/>
  <c r="W96" i="17"/>
  <c r="X96" i="17" s="1"/>
  <c r="W143" i="17"/>
  <c r="X143" i="17" s="1"/>
  <c r="W12" i="17"/>
  <c r="X12" i="17" s="1"/>
  <c r="Q47" i="17"/>
  <c r="R47" i="17" s="1"/>
  <c r="N82" i="17"/>
  <c r="O82" i="17" s="1"/>
  <c r="AC82" i="24" s="1"/>
  <c r="AD82" i="24" s="1"/>
  <c r="AE82" i="24" s="1"/>
  <c r="N36" i="17"/>
  <c r="O36" i="17" s="1"/>
  <c r="AC36" i="24" s="1"/>
  <c r="AD36" i="24" s="1"/>
  <c r="AE36" i="24" s="1"/>
  <c r="N42" i="17"/>
  <c r="N81" i="17"/>
  <c r="N114" i="17"/>
  <c r="N17" i="17"/>
  <c r="N98" i="17"/>
  <c r="N38" i="17"/>
  <c r="N136" i="17"/>
  <c r="N126" i="17"/>
  <c r="N79" i="17"/>
  <c r="N117" i="17"/>
  <c r="N97" i="17"/>
  <c r="N47" i="17"/>
  <c r="N21" i="17"/>
  <c r="N130" i="17"/>
  <c r="N90" i="17"/>
  <c r="N29" i="17"/>
  <c r="N120" i="17"/>
  <c r="N134" i="17"/>
  <c r="N53" i="17"/>
  <c r="N146" i="17"/>
  <c r="N19" i="17"/>
  <c r="N56" i="17"/>
  <c r="N141" i="17"/>
  <c r="W69" i="17"/>
  <c r="X69" i="17" s="1"/>
  <c r="W24" i="17"/>
  <c r="X24" i="17" s="1"/>
  <c r="W107" i="17"/>
  <c r="X107" i="17" s="1"/>
  <c r="W21" i="17"/>
  <c r="X21" i="17" s="1"/>
  <c r="W92" i="17"/>
  <c r="X92" i="17" s="1"/>
  <c r="W118" i="17"/>
  <c r="X118" i="17" s="1"/>
  <c r="W73" i="17"/>
  <c r="X73" i="17" s="1"/>
  <c r="W150" i="17"/>
  <c r="X150" i="17" s="1"/>
  <c r="W29" i="17"/>
  <c r="X29" i="17" s="1"/>
  <c r="W19" i="17"/>
  <c r="X19" i="17" s="1"/>
  <c r="W130" i="17"/>
  <c r="X130" i="17" s="1"/>
  <c r="W66" i="17"/>
  <c r="X66" i="17" s="1"/>
  <c r="W86" i="17"/>
  <c r="X86" i="17" s="1"/>
  <c r="W120" i="17"/>
  <c r="X120" i="17" s="1"/>
  <c r="W62" i="17"/>
  <c r="X62" i="17" s="1"/>
  <c r="W89" i="17"/>
  <c r="X89" i="17" s="1"/>
  <c r="W137" i="17"/>
  <c r="X137" i="17" s="1"/>
  <c r="W80" i="17"/>
  <c r="X80" i="17" s="1"/>
  <c r="W26" i="17"/>
  <c r="X26" i="17" s="1"/>
  <c r="W59" i="17"/>
  <c r="X59" i="17" s="1"/>
  <c r="W142" i="17"/>
  <c r="X142" i="17" s="1"/>
  <c r="W41" i="17"/>
  <c r="X41" i="17" s="1"/>
  <c r="W77" i="17"/>
  <c r="X77" i="17" s="1"/>
  <c r="W123" i="17"/>
  <c r="X123" i="17" s="1"/>
  <c r="W131" i="17"/>
  <c r="X131" i="17" s="1"/>
  <c r="W52" i="17"/>
  <c r="X52" i="17" s="1"/>
  <c r="W58" i="17"/>
  <c r="X58" i="17" s="1"/>
  <c r="W30" i="17"/>
  <c r="X30" i="17" s="1"/>
  <c r="W38" i="17"/>
  <c r="X38" i="17" s="1"/>
  <c r="W115" i="17"/>
  <c r="X115" i="17" s="1"/>
  <c r="W109" i="17"/>
  <c r="X109" i="17" s="1"/>
  <c r="W46" i="17"/>
  <c r="X46" i="17" s="1"/>
  <c r="W23" i="17"/>
  <c r="X23" i="17" s="1"/>
  <c r="W11" i="17"/>
  <c r="X11" i="17" s="1"/>
  <c r="W60" i="17"/>
  <c r="X60" i="17" s="1"/>
  <c r="W101" i="17"/>
  <c r="X101" i="17" s="1"/>
  <c r="W48" i="17"/>
  <c r="X48" i="17" s="1"/>
  <c r="W146" i="17"/>
  <c r="X146" i="17" s="1"/>
  <c r="W95" i="17"/>
  <c r="X95" i="17" s="1"/>
  <c r="W78" i="17"/>
  <c r="X78" i="17" s="1"/>
  <c r="W20" i="17"/>
  <c r="X20" i="17" s="1"/>
  <c r="W91" i="17"/>
  <c r="X91" i="17" s="1"/>
  <c r="W119" i="17"/>
  <c r="X119" i="17" s="1"/>
  <c r="W64" i="17"/>
  <c r="X64" i="17" s="1"/>
  <c r="W149" i="17"/>
  <c r="X149" i="17" s="1"/>
  <c r="W138" i="17"/>
  <c r="X138" i="17" s="1"/>
  <c r="W154" i="17"/>
  <c r="X154" i="17" s="1"/>
  <c r="W22" i="17"/>
  <c r="X22" i="17" s="1"/>
  <c r="W75" i="17"/>
  <c r="X75" i="17" s="1"/>
  <c r="W153" i="17"/>
  <c r="X153" i="17" s="1"/>
  <c r="W136" i="17"/>
  <c r="X136" i="17" s="1"/>
  <c r="W129" i="17"/>
  <c r="X129" i="17" s="1"/>
  <c r="W94" i="17"/>
  <c r="X94" i="17" s="1"/>
  <c r="W151" i="17"/>
  <c r="X151" i="17" s="1"/>
  <c r="W44" i="17"/>
  <c r="X44" i="17" s="1"/>
  <c r="W97" i="17"/>
  <c r="X97" i="17" s="1"/>
  <c r="W128" i="17"/>
  <c r="X128" i="17" s="1"/>
  <c r="W81" i="17"/>
  <c r="X81" i="17" s="1"/>
  <c r="W105" i="17"/>
  <c r="X105" i="17" s="1"/>
  <c r="W127" i="17"/>
  <c r="X127" i="17" s="1"/>
  <c r="W71" i="17"/>
  <c r="X71" i="17" s="1"/>
  <c r="W72" i="17"/>
  <c r="X72" i="17" s="1"/>
  <c r="W14" i="17"/>
  <c r="X14" i="17" s="1"/>
  <c r="W140" i="17"/>
  <c r="X140" i="17" s="1"/>
  <c r="W28" i="17"/>
  <c r="X28" i="17" s="1"/>
  <c r="W9" i="17"/>
  <c r="X9" i="17" s="1"/>
  <c r="W135" i="17"/>
  <c r="X135" i="17" s="1"/>
  <c r="W85" i="17"/>
  <c r="X85" i="17" s="1"/>
  <c r="W8" i="17"/>
  <c r="X8" i="17" s="1"/>
  <c r="W54" i="17"/>
  <c r="X54" i="17" s="1"/>
  <c r="W6" i="17"/>
  <c r="W99" i="17"/>
  <c r="X99" i="17" s="1"/>
  <c r="W32" i="17"/>
  <c r="X32" i="17" s="1"/>
  <c r="W83" i="17"/>
  <c r="X83" i="17" s="1"/>
  <c r="Q122" i="17"/>
  <c r="R122" i="17" s="1"/>
  <c r="Q126" i="17"/>
  <c r="R126" i="17" s="1"/>
  <c r="Q96" i="17"/>
  <c r="R96" i="17" s="1"/>
  <c r="Q67" i="17"/>
  <c r="R67" i="17" s="1"/>
  <c r="Q124" i="17"/>
  <c r="R124" i="17" s="1"/>
  <c r="Q134" i="17"/>
  <c r="R134" i="17" s="1"/>
  <c r="Q129" i="17"/>
  <c r="R129" i="17" s="1"/>
  <c r="Q125" i="17"/>
  <c r="R125" i="17" s="1"/>
  <c r="Q12" i="17"/>
  <c r="R12" i="17" s="1"/>
  <c r="Q17" i="17"/>
  <c r="R17" i="17" s="1"/>
  <c r="Q87" i="17"/>
  <c r="R87" i="17" s="1"/>
  <c r="Q85" i="17"/>
  <c r="R85" i="17" s="1"/>
  <c r="Q31" i="17"/>
  <c r="R31" i="17" s="1"/>
  <c r="Q110" i="17"/>
  <c r="R110" i="17" s="1"/>
  <c r="Q65" i="17"/>
  <c r="R65" i="17" s="1"/>
  <c r="Q144" i="17"/>
  <c r="R144" i="17" s="1"/>
  <c r="Q141" i="17"/>
  <c r="R141" i="17" s="1"/>
  <c r="Q74" i="17"/>
  <c r="R74" i="17" s="1"/>
  <c r="Q106" i="17"/>
  <c r="R106" i="17" s="1"/>
  <c r="Q15" i="17"/>
  <c r="R15" i="17" s="1"/>
  <c r="Q99" i="17"/>
  <c r="R99" i="17" s="1"/>
  <c r="Q113" i="17"/>
  <c r="R113" i="17" s="1"/>
  <c r="Q114" i="17"/>
  <c r="R114" i="17" s="1"/>
  <c r="Q6" i="17"/>
  <c r="Q82" i="17"/>
  <c r="R82" i="17" s="1"/>
  <c r="Q21" i="17"/>
  <c r="R21" i="17" s="1"/>
  <c r="Q48" i="17"/>
  <c r="R48" i="17" s="1"/>
  <c r="Q153" i="17"/>
  <c r="R153" i="17" s="1"/>
  <c r="Q69" i="17"/>
  <c r="R69" i="17" s="1"/>
  <c r="Q72" i="17"/>
  <c r="R72" i="17" s="1"/>
  <c r="Q90" i="17"/>
  <c r="R90" i="17" s="1"/>
  <c r="Q39" i="17"/>
  <c r="R39" i="17" s="1"/>
  <c r="Q16" i="17"/>
  <c r="R16" i="17" s="1"/>
  <c r="Q94" i="17"/>
  <c r="R94" i="17" s="1"/>
  <c r="Q43" i="17"/>
  <c r="R43" i="17" s="1"/>
  <c r="Q37" i="17"/>
  <c r="R37" i="17" s="1"/>
  <c r="Q18" i="17"/>
  <c r="R18" i="17" s="1"/>
  <c r="Q59" i="17"/>
  <c r="R59" i="17" s="1"/>
  <c r="Q10" i="17"/>
  <c r="R10" i="17" s="1"/>
  <c r="Q13" i="17"/>
  <c r="R13" i="17" s="1"/>
  <c r="Q33" i="17"/>
  <c r="R33" i="17" s="1"/>
  <c r="Q145" i="17"/>
  <c r="R145" i="17" s="1"/>
  <c r="Q150" i="17"/>
  <c r="R150" i="17" s="1"/>
  <c r="Q41" i="17"/>
  <c r="R41" i="17" s="1"/>
  <c r="Q19" i="17"/>
  <c r="R19" i="17" s="1"/>
  <c r="Q88" i="17"/>
  <c r="R88" i="17" s="1"/>
  <c r="Q23" i="17"/>
  <c r="R23" i="17" s="1"/>
  <c r="Q147" i="17"/>
  <c r="R147" i="17" s="1"/>
  <c r="Q128" i="17"/>
  <c r="R128" i="17" s="1"/>
  <c r="Q30" i="17"/>
  <c r="R30" i="17" s="1"/>
  <c r="Q53" i="17"/>
  <c r="R53" i="17" s="1"/>
  <c r="Q29" i="17"/>
  <c r="R29" i="17" s="1"/>
  <c r="Q75" i="17"/>
  <c r="R75" i="17" s="1"/>
  <c r="Q9" i="17"/>
  <c r="R9" i="17" s="1"/>
  <c r="Q57" i="17"/>
  <c r="R57" i="17" s="1"/>
  <c r="Q71" i="17"/>
  <c r="R71" i="17" s="1"/>
  <c r="Q98" i="17"/>
  <c r="R98" i="17" s="1"/>
  <c r="Q36" i="17"/>
  <c r="R36" i="17" s="1"/>
  <c r="Q80" i="17"/>
  <c r="R80" i="17" s="1"/>
  <c r="Q136" i="17"/>
  <c r="R136" i="17" s="1"/>
  <c r="Q120" i="17"/>
  <c r="R120" i="17" s="1"/>
  <c r="Q140" i="17"/>
  <c r="R140" i="17" s="1"/>
  <c r="Q24" i="17"/>
  <c r="R24" i="17" s="1"/>
  <c r="Q49" i="17"/>
  <c r="R49" i="17" s="1"/>
  <c r="Q44" i="17"/>
  <c r="R44" i="17" s="1"/>
  <c r="Q118" i="17"/>
  <c r="R118" i="17" s="1"/>
  <c r="Q108" i="17"/>
  <c r="R108" i="17" s="1"/>
  <c r="Q20" i="17"/>
  <c r="R20" i="17" s="1"/>
  <c r="Q50" i="17"/>
  <c r="R50" i="17" s="1"/>
  <c r="Q70" i="17"/>
  <c r="R70" i="17" s="1"/>
  <c r="Q117" i="17"/>
  <c r="R117" i="17" s="1"/>
  <c r="Q77" i="17"/>
  <c r="R77" i="17" s="1"/>
  <c r="Q58" i="17"/>
  <c r="R58" i="17" s="1"/>
  <c r="Q34" i="17"/>
  <c r="R34" i="17" s="1"/>
  <c r="Q32" i="17"/>
  <c r="R32" i="17" s="1"/>
  <c r="Q64" i="17"/>
  <c r="R64" i="17" s="1"/>
  <c r="Q154" i="17"/>
  <c r="R154" i="17" s="1"/>
  <c r="Q146" i="17"/>
  <c r="R146" i="17" s="1"/>
  <c r="Q139" i="17"/>
  <c r="R139" i="17" s="1"/>
  <c r="Q135" i="17"/>
  <c r="R135" i="17" s="1"/>
  <c r="Q103" i="17"/>
  <c r="R103" i="17" s="1"/>
  <c r="Q22" i="17"/>
  <c r="R22" i="17" s="1"/>
  <c r="Q40" i="17"/>
  <c r="R40" i="17" s="1"/>
  <c r="Q115" i="17"/>
  <c r="R115" i="17" s="1"/>
  <c r="Q61" i="17"/>
  <c r="R61" i="17" s="1"/>
  <c r="W50" i="17"/>
  <c r="X50" i="17" s="1"/>
  <c r="W100" i="17"/>
  <c r="X100" i="17" s="1"/>
  <c r="W42" i="17"/>
  <c r="X42" i="17" s="1"/>
  <c r="W141" i="17"/>
  <c r="X141" i="17" s="1"/>
  <c r="W93" i="17"/>
  <c r="X93" i="17" s="1"/>
  <c r="W133" i="17"/>
  <c r="X133" i="17" s="1"/>
  <c r="W82" i="17"/>
  <c r="X82" i="17" s="1"/>
  <c r="W90" i="17"/>
  <c r="X90" i="17" s="1"/>
  <c r="Q142" i="17"/>
  <c r="R142" i="17" s="1"/>
  <c r="Q152" i="17"/>
  <c r="R152" i="17" s="1"/>
  <c r="Q46" i="17"/>
  <c r="R46" i="17" s="1"/>
  <c r="Q127" i="17"/>
  <c r="R127" i="17" s="1"/>
  <c r="Q100" i="17"/>
  <c r="R100" i="17" s="1"/>
  <c r="Q68" i="17"/>
  <c r="R68" i="17" s="1"/>
  <c r="Q26" i="17"/>
  <c r="R26" i="17" s="1"/>
  <c r="Q123" i="17"/>
  <c r="R123" i="17" s="1"/>
  <c r="W13" i="17"/>
  <c r="X13" i="17" s="1"/>
  <c r="W122" i="17"/>
  <c r="X122" i="17" s="1"/>
  <c r="W47" i="17"/>
  <c r="X47" i="17" s="1"/>
  <c r="W56" i="17"/>
  <c r="X56" i="17" s="1"/>
  <c r="W25" i="17"/>
  <c r="X25" i="17" s="1"/>
  <c r="W117" i="17"/>
  <c r="X117" i="17" s="1"/>
  <c r="W132" i="17"/>
  <c r="X132" i="17" s="1"/>
  <c r="W145" i="17"/>
  <c r="X145" i="17" s="1"/>
  <c r="W126" i="17"/>
  <c r="X126" i="17" s="1"/>
  <c r="W61" i="17"/>
  <c r="X61" i="17" s="1"/>
  <c r="W65" i="17"/>
  <c r="X65" i="17" s="1"/>
  <c r="W88" i="17"/>
  <c r="X88" i="17" s="1"/>
  <c r="W111" i="17"/>
  <c r="X111" i="17" s="1"/>
  <c r="W114" i="17"/>
  <c r="X114" i="17" s="1"/>
  <c r="W102" i="17"/>
  <c r="X102" i="17" s="1"/>
  <c r="W40" i="17"/>
  <c r="X40" i="17" s="1"/>
  <c r="W51" i="17"/>
  <c r="X51" i="17" s="1"/>
  <c r="W152" i="17"/>
  <c r="X152" i="17" s="1"/>
  <c r="W87" i="17"/>
  <c r="X87" i="17" s="1"/>
  <c r="W103" i="17"/>
  <c r="X103" i="17" s="1"/>
  <c r="W110" i="17"/>
  <c r="X110" i="17" s="1"/>
  <c r="Q151" i="17"/>
  <c r="R151" i="17" s="1"/>
  <c r="Q130" i="17"/>
  <c r="R130" i="17" s="1"/>
  <c r="W35" i="17"/>
  <c r="X35" i="17" s="1"/>
  <c r="W27" i="17"/>
  <c r="X27" i="17" s="1"/>
  <c r="W33" i="17"/>
  <c r="X33" i="17" s="1"/>
  <c r="W125" i="17"/>
  <c r="X125" i="17" s="1"/>
  <c r="W57" i="17"/>
  <c r="X57" i="17" s="1"/>
  <c r="W63" i="17"/>
  <c r="X63" i="17" s="1"/>
  <c r="W112" i="17"/>
  <c r="X112" i="17" s="1"/>
  <c r="W116" i="17"/>
  <c r="X116" i="17" s="1"/>
  <c r="W16" i="17"/>
  <c r="X16" i="17" s="1"/>
  <c r="W49" i="17"/>
  <c r="X49" i="17" s="1"/>
  <c r="W147" i="17"/>
  <c r="X147" i="17" s="1"/>
  <c r="W68" i="17"/>
  <c r="X68" i="17" s="1"/>
  <c r="W84" i="17"/>
  <c r="X84" i="17" s="1"/>
  <c r="W113" i="17"/>
  <c r="X113" i="17" s="1"/>
  <c r="W134" i="17"/>
  <c r="X134" i="17" s="1"/>
  <c r="W10" i="17"/>
  <c r="X10" i="17" s="1"/>
  <c r="W70" i="17"/>
  <c r="X70" i="17" s="1"/>
  <c r="W74" i="17"/>
  <c r="X74" i="17" s="1"/>
  <c r="W39" i="17"/>
  <c r="X39" i="17" s="1"/>
  <c r="W144" i="17"/>
  <c r="X144" i="17" s="1"/>
  <c r="W104" i="17"/>
  <c r="X104" i="17" s="1"/>
  <c r="W53" i="17"/>
  <c r="X53" i="17" s="1"/>
  <c r="W148" i="17"/>
  <c r="X148" i="17" s="1"/>
  <c r="W31" i="17"/>
  <c r="X31" i="17" s="1"/>
  <c r="W79" i="17"/>
  <c r="X79" i="17" s="1"/>
  <c r="W124" i="17"/>
  <c r="X124" i="17" s="1"/>
  <c r="W106" i="17"/>
  <c r="X106" i="17" s="1"/>
  <c r="W34" i="17"/>
  <c r="X34" i="17" s="1"/>
  <c r="W139" i="17"/>
  <c r="X139" i="17" s="1"/>
  <c r="W36" i="17"/>
  <c r="X36" i="17" s="1"/>
  <c r="W121" i="17"/>
  <c r="X121" i="17" s="1"/>
  <c r="Q8" i="17"/>
  <c r="R8" i="17" s="1"/>
  <c r="Q60" i="17"/>
  <c r="R60" i="17" s="1"/>
  <c r="Q25" i="17"/>
  <c r="R25" i="17" s="1"/>
  <c r="AT31" i="17"/>
  <c r="AQ10" i="25" l="1"/>
  <c r="AQ18" i="25"/>
  <c r="AQ15" i="25"/>
  <c r="AQ12" i="25"/>
  <c r="AQ7" i="25"/>
  <c r="AG139" i="24"/>
  <c r="AH139" i="24" s="1"/>
  <c r="AI139" i="24" s="1"/>
  <c r="AG57" i="24"/>
  <c r="AH57" i="24" s="1"/>
  <c r="AI57" i="24" s="1"/>
  <c r="AG90" i="24"/>
  <c r="AH90" i="24" s="1"/>
  <c r="AI90" i="24" s="1"/>
  <c r="AG65" i="24"/>
  <c r="AH65" i="24" s="1"/>
  <c r="AI65" i="24" s="1"/>
  <c r="AG76" i="24"/>
  <c r="AH76" i="24" s="1"/>
  <c r="AI76" i="24" s="1"/>
  <c r="AG73" i="24"/>
  <c r="AH73" i="24" s="1"/>
  <c r="AI73" i="24" s="1"/>
  <c r="AG8" i="24"/>
  <c r="AH8" i="24" s="1"/>
  <c r="AI8" i="24" s="1"/>
  <c r="AG142" i="24"/>
  <c r="AH142" i="24" s="1"/>
  <c r="AI142" i="24" s="1"/>
  <c r="AG146" i="24"/>
  <c r="AH146" i="24" s="1"/>
  <c r="AI146" i="24" s="1"/>
  <c r="AG70" i="24"/>
  <c r="AH70" i="24" s="1"/>
  <c r="AI70" i="24" s="1"/>
  <c r="AG140" i="24"/>
  <c r="AH140" i="24" s="1"/>
  <c r="AI140" i="24" s="1"/>
  <c r="AG9" i="24"/>
  <c r="AH9" i="24" s="1"/>
  <c r="AI9" i="24" s="1"/>
  <c r="AG88" i="24"/>
  <c r="AH88" i="24" s="1"/>
  <c r="AI88" i="24" s="1"/>
  <c r="AG59" i="24"/>
  <c r="AH59" i="24" s="1"/>
  <c r="AI59" i="24" s="1"/>
  <c r="AG72" i="24"/>
  <c r="AH72" i="24" s="1"/>
  <c r="AI72" i="24" s="1"/>
  <c r="AG113" i="24"/>
  <c r="AH113" i="24" s="1"/>
  <c r="AI113" i="24" s="1"/>
  <c r="AG110" i="24"/>
  <c r="AH110" i="24" s="1"/>
  <c r="AI110" i="24" s="1"/>
  <c r="AG134" i="24"/>
  <c r="AH134" i="24" s="1"/>
  <c r="AI134" i="24" s="1"/>
  <c r="AG55" i="24"/>
  <c r="AH55" i="24" s="1"/>
  <c r="AI55" i="24" s="1"/>
  <c r="AG119" i="24"/>
  <c r="AH119" i="24" s="1"/>
  <c r="AI119" i="24" s="1"/>
  <c r="AG62" i="24"/>
  <c r="AH62" i="24" s="1"/>
  <c r="AI62" i="24" s="1"/>
  <c r="AG28" i="24"/>
  <c r="AH28" i="24" s="1"/>
  <c r="AI28" i="24" s="1"/>
  <c r="AG93" i="24"/>
  <c r="AH93" i="24" s="1"/>
  <c r="AI93" i="24" s="1"/>
  <c r="AG91" i="24"/>
  <c r="AH91" i="24" s="1"/>
  <c r="AI91" i="24" s="1"/>
  <c r="AG133" i="24"/>
  <c r="AH133" i="24" s="1"/>
  <c r="AI133" i="24" s="1"/>
  <c r="AG148" i="24"/>
  <c r="AH148" i="24" s="1"/>
  <c r="AI148" i="24" s="1"/>
  <c r="AG130" i="24"/>
  <c r="AH130" i="24" s="1"/>
  <c r="AI130" i="24" s="1"/>
  <c r="AG123" i="24"/>
  <c r="AH123" i="24" s="1"/>
  <c r="AI123" i="24" s="1"/>
  <c r="AG61" i="24"/>
  <c r="AH61" i="24" s="1"/>
  <c r="AI61" i="24" s="1"/>
  <c r="AG154" i="24"/>
  <c r="AH154" i="24" s="1"/>
  <c r="AI154" i="24" s="1"/>
  <c r="AG50" i="24"/>
  <c r="AH50" i="24" s="1"/>
  <c r="AI50" i="24" s="1"/>
  <c r="AG120" i="24"/>
  <c r="AH120" i="24" s="1"/>
  <c r="AI120" i="24" s="1"/>
  <c r="AG75" i="24"/>
  <c r="AH75" i="24" s="1"/>
  <c r="AI75" i="24" s="1"/>
  <c r="AG19" i="24"/>
  <c r="AH19" i="24" s="1"/>
  <c r="AI19" i="24" s="1"/>
  <c r="AG18" i="24"/>
  <c r="AH18" i="24" s="1"/>
  <c r="AI18" i="24" s="1"/>
  <c r="AG69" i="24"/>
  <c r="AH69" i="24" s="1"/>
  <c r="AI69" i="24" s="1"/>
  <c r="AG99" i="24"/>
  <c r="AH99" i="24" s="1"/>
  <c r="AI99" i="24" s="1"/>
  <c r="AG31" i="24"/>
  <c r="AH31" i="24" s="1"/>
  <c r="AI31" i="24" s="1"/>
  <c r="AG124" i="24"/>
  <c r="AH124" i="24" s="1"/>
  <c r="AI124" i="24" s="1"/>
  <c r="AG38" i="24"/>
  <c r="AH38" i="24" s="1"/>
  <c r="AI38" i="24" s="1"/>
  <c r="AG95" i="24"/>
  <c r="AH95" i="24" s="1"/>
  <c r="AI95" i="24" s="1"/>
  <c r="AG81" i="24"/>
  <c r="AH81" i="24" s="1"/>
  <c r="AI81" i="24" s="1"/>
  <c r="AG7" i="24"/>
  <c r="AH7" i="24" s="1"/>
  <c r="AI7" i="24" s="1"/>
  <c r="AG92" i="24"/>
  <c r="AH92" i="24" s="1"/>
  <c r="AI92" i="24" s="1"/>
  <c r="AG97" i="24"/>
  <c r="AH97" i="24" s="1"/>
  <c r="AI97" i="24" s="1"/>
  <c r="AG143" i="24"/>
  <c r="AH143" i="24" s="1"/>
  <c r="AI143" i="24" s="1"/>
  <c r="AG152" i="24"/>
  <c r="AH152" i="24" s="1"/>
  <c r="AI152" i="24" s="1"/>
  <c r="AG117" i="24"/>
  <c r="AH117" i="24" s="1"/>
  <c r="AI117" i="24" s="1"/>
  <c r="AG114" i="24"/>
  <c r="AH114" i="24" s="1"/>
  <c r="AI114" i="24" s="1"/>
  <c r="AG26" i="24"/>
  <c r="AH26" i="24" s="1"/>
  <c r="AI26" i="24" s="1"/>
  <c r="AG115" i="24"/>
  <c r="AH115" i="24" s="1"/>
  <c r="AI115" i="24" s="1"/>
  <c r="AG64" i="24"/>
  <c r="AH64" i="24" s="1"/>
  <c r="AI64" i="24" s="1"/>
  <c r="AG136" i="24"/>
  <c r="AH136" i="24" s="1"/>
  <c r="AI136" i="24" s="1"/>
  <c r="AG41" i="24"/>
  <c r="AH41" i="24" s="1"/>
  <c r="AI41" i="24" s="1"/>
  <c r="AG15" i="24"/>
  <c r="AH15" i="24" s="1"/>
  <c r="AI15" i="24" s="1"/>
  <c r="AG67" i="24"/>
  <c r="AH67" i="24" s="1"/>
  <c r="AI67" i="24" s="1"/>
  <c r="AG104" i="24"/>
  <c r="AH104" i="24" s="1"/>
  <c r="AI104" i="24" s="1"/>
  <c r="AG11" i="24"/>
  <c r="AH11" i="24" s="1"/>
  <c r="AI11" i="24" s="1"/>
  <c r="AG35" i="24"/>
  <c r="AH35" i="24" s="1"/>
  <c r="AI35" i="24" s="1"/>
  <c r="AG27" i="24"/>
  <c r="AH27" i="24" s="1"/>
  <c r="AI27" i="24" s="1"/>
  <c r="AG116" i="24"/>
  <c r="AH116" i="24" s="1"/>
  <c r="AI116" i="24" s="1"/>
  <c r="AG42" i="24"/>
  <c r="AH42" i="24" s="1"/>
  <c r="AI42" i="24" s="1"/>
  <c r="AG24" i="24"/>
  <c r="AH24" i="24" s="1"/>
  <c r="AI24" i="24" s="1"/>
  <c r="AG23" i="24"/>
  <c r="AH23" i="24" s="1"/>
  <c r="AI23" i="24" s="1"/>
  <c r="AG129" i="24"/>
  <c r="AH129" i="24" s="1"/>
  <c r="AI129" i="24" s="1"/>
  <c r="AG78" i="24"/>
  <c r="AH78" i="24" s="1"/>
  <c r="AI78" i="24" s="1"/>
  <c r="AG131" i="24"/>
  <c r="AH131" i="24" s="1"/>
  <c r="AI131" i="24" s="1"/>
  <c r="AG20" i="24"/>
  <c r="AH20" i="24" s="1"/>
  <c r="AI20" i="24" s="1"/>
  <c r="AG29" i="24"/>
  <c r="AH29" i="24" s="1"/>
  <c r="AI29" i="24" s="1"/>
  <c r="AG37" i="24"/>
  <c r="AH37" i="24" s="1"/>
  <c r="AI37" i="24" s="1"/>
  <c r="AG153" i="24"/>
  <c r="AH153" i="24" s="1"/>
  <c r="AI153" i="24" s="1"/>
  <c r="AG85" i="24"/>
  <c r="AH85" i="24" s="1"/>
  <c r="AI85" i="24" s="1"/>
  <c r="AG68" i="24"/>
  <c r="AH68" i="24" s="1"/>
  <c r="AI68" i="24" s="1"/>
  <c r="AG40" i="24"/>
  <c r="AH40" i="24" s="1"/>
  <c r="AI40" i="24" s="1"/>
  <c r="AG32" i="24"/>
  <c r="AH32" i="24" s="1"/>
  <c r="AI32" i="24" s="1"/>
  <c r="AG108" i="24"/>
  <c r="AH108" i="24" s="1"/>
  <c r="AI108" i="24" s="1"/>
  <c r="AG80" i="24"/>
  <c r="AH80" i="24" s="1"/>
  <c r="AI80" i="24" s="1"/>
  <c r="AG53" i="24"/>
  <c r="AH53" i="24" s="1"/>
  <c r="AI53" i="24" s="1"/>
  <c r="AG150" i="24"/>
  <c r="AH150" i="24" s="1"/>
  <c r="AI150" i="24" s="1"/>
  <c r="AG43" i="24"/>
  <c r="AH43" i="24" s="1"/>
  <c r="AI43" i="24" s="1"/>
  <c r="AG48" i="24"/>
  <c r="AH48" i="24" s="1"/>
  <c r="AI48" i="24" s="1"/>
  <c r="AG106" i="24"/>
  <c r="AH106" i="24" s="1"/>
  <c r="AI106" i="24" s="1"/>
  <c r="AG87" i="24"/>
  <c r="AH87" i="24" s="1"/>
  <c r="AI87" i="24" s="1"/>
  <c r="AG96" i="24"/>
  <c r="AH96" i="24" s="1"/>
  <c r="AI96" i="24" s="1"/>
  <c r="AG138" i="24"/>
  <c r="AH138" i="24" s="1"/>
  <c r="AI138" i="24" s="1"/>
  <c r="AG121" i="24"/>
  <c r="AH121" i="24" s="1"/>
  <c r="AI121" i="24" s="1"/>
  <c r="AG14" i="24"/>
  <c r="AH14" i="24" s="1"/>
  <c r="AI14" i="24" s="1"/>
  <c r="AG83" i="24"/>
  <c r="AH83" i="24" s="1"/>
  <c r="AI83" i="24" s="1"/>
  <c r="AG54" i="24"/>
  <c r="AH54" i="24" s="1"/>
  <c r="AI54" i="24" s="1"/>
  <c r="AG109" i="24"/>
  <c r="AH109" i="24" s="1"/>
  <c r="AI109" i="24" s="1"/>
  <c r="AT14" i="17"/>
  <c r="AC14" i="24"/>
  <c r="AD14" i="24" s="1"/>
  <c r="AE14" i="24" s="1"/>
  <c r="AG63" i="24"/>
  <c r="AH63" i="24" s="1"/>
  <c r="AI63" i="24" s="1"/>
  <c r="AG10" i="24"/>
  <c r="AH10" i="24" s="1"/>
  <c r="AI10" i="24" s="1"/>
  <c r="AG100" i="24"/>
  <c r="AH100" i="24" s="1"/>
  <c r="AI100" i="24" s="1"/>
  <c r="AG34" i="24"/>
  <c r="AH34" i="24" s="1"/>
  <c r="AI34" i="24" s="1"/>
  <c r="AG145" i="24"/>
  <c r="AH145" i="24" s="1"/>
  <c r="AI145" i="24" s="1"/>
  <c r="AG74" i="24"/>
  <c r="AH74" i="24" s="1"/>
  <c r="AI74" i="24" s="1"/>
  <c r="AG47" i="24"/>
  <c r="AH47" i="24" s="1"/>
  <c r="AI47" i="24" s="1"/>
  <c r="AG112" i="24"/>
  <c r="AH112" i="24" s="1"/>
  <c r="AI112" i="24" s="1"/>
  <c r="AG111" i="24"/>
  <c r="AH111" i="24" s="1"/>
  <c r="AI111" i="24" s="1"/>
  <c r="AG107" i="24"/>
  <c r="AH107" i="24" s="1"/>
  <c r="AI107" i="24" s="1"/>
  <c r="AG52" i="24"/>
  <c r="AH52" i="24" s="1"/>
  <c r="AI52" i="24" s="1"/>
  <c r="AG132" i="24"/>
  <c r="AH132" i="24" s="1"/>
  <c r="AI132" i="24" s="1"/>
  <c r="AG22" i="24"/>
  <c r="AH22" i="24" s="1"/>
  <c r="AI22" i="24" s="1"/>
  <c r="AG36" i="24"/>
  <c r="AH36" i="24" s="1"/>
  <c r="AI36" i="24" s="1"/>
  <c r="AG94" i="24"/>
  <c r="AH94" i="24" s="1"/>
  <c r="AI94" i="24" s="1"/>
  <c r="AG17" i="24"/>
  <c r="AH17" i="24" s="1"/>
  <c r="AI17" i="24" s="1"/>
  <c r="AG25" i="24"/>
  <c r="AH25" i="24" s="1"/>
  <c r="AI25" i="24" s="1"/>
  <c r="AG127" i="24"/>
  <c r="AH127" i="24" s="1"/>
  <c r="AI127" i="24" s="1"/>
  <c r="AG58" i="24"/>
  <c r="AH58" i="24" s="1"/>
  <c r="AI58" i="24" s="1"/>
  <c r="AG44" i="24"/>
  <c r="AH44" i="24" s="1"/>
  <c r="AI44" i="24" s="1"/>
  <c r="AG98" i="24"/>
  <c r="AH98" i="24" s="1"/>
  <c r="AI98" i="24" s="1"/>
  <c r="AG128" i="24"/>
  <c r="AH128" i="24" s="1"/>
  <c r="AI128" i="24" s="1"/>
  <c r="AG33" i="24"/>
  <c r="AH33" i="24" s="1"/>
  <c r="AI33" i="24" s="1"/>
  <c r="AG16" i="24"/>
  <c r="AH16" i="24" s="1"/>
  <c r="AI16" i="24" s="1"/>
  <c r="AG82" i="24"/>
  <c r="AH82" i="24" s="1"/>
  <c r="AI82" i="24" s="1"/>
  <c r="AG141" i="24"/>
  <c r="AH141" i="24" s="1"/>
  <c r="AI141" i="24" s="1"/>
  <c r="AG12" i="24"/>
  <c r="AH12" i="24" s="1"/>
  <c r="AI12" i="24" s="1"/>
  <c r="AG122" i="24"/>
  <c r="AH122" i="24" s="1"/>
  <c r="AI122" i="24" s="1"/>
  <c r="AG86" i="24"/>
  <c r="AH86" i="24" s="1"/>
  <c r="AI86" i="24" s="1"/>
  <c r="AG105" i="24"/>
  <c r="AH105" i="24" s="1"/>
  <c r="AI105" i="24" s="1"/>
  <c r="AG56" i="24"/>
  <c r="AH56" i="24" s="1"/>
  <c r="AI56" i="24" s="1"/>
  <c r="AG79" i="24"/>
  <c r="AH79" i="24" s="1"/>
  <c r="AI79" i="24" s="1"/>
  <c r="AG66" i="24"/>
  <c r="AH66" i="24" s="1"/>
  <c r="AI66" i="24" s="1"/>
  <c r="AG89" i="24"/>
  <c r="AH89" i="24" s="1"/>
  <c r="AI89" i="24" s="1"/>
  <c r="AG149" i="24"/>
  <c r="AH149" i="24" s="1"/>
  <c r="AI149" i="24" s="1"/>
  <c r="AG101" i="24"/>
  <c r="AH101" i="24" s="1"/>
  <c r="AI101" i="24" s="1"/>
  <c r="AG151" i="24"/>
  <c r="AH151" i="24" s="1"/>
  <c r="AI151" i="24" s="1"/>
  <c r="AG118" i="24"/>
  <c r="AH118" i="24" s="1"/>
  <c r="AI118" i="24" s="1"/>
  <c r="AG30" i="24"/>
  <c r="AH30" i="24" s="1"/>
  <c r="AI30" i="24" s="1"/>
  <c r="AG21" i="24"/>
  <c r="AH21" i="24" s="1"/>
  <c r="AI21" i="24" s="1"/>
  <c r="AG126" i="24"/>
  <c r="AH126" i="24" s="1"/>
  <c r="AI126" i="24" s="1"/>
  <c r="AG103" i="24"/>
  <c r="AH103" i="24" s="1"/>
  <c r="AI103" i="24" s="1"/>
  <c r="AG60" i="24"/>
  <c r="AH60" i="24" s="1"/>
  <c r="AI60" i="24" s="1"/>
  <c r="AG46" i="24"/>
  <c r="AH46" i="24" s="1"/>
  <c r="AI46" i="24" s="1"/>
  <c r="AG135" i="24"/>
  <c r="AH135" i="24" s="1"/>
  <c r="AI135" i="24" s="1"/>
  <c r="AG77" i="24"/>
  <c r="AH77" i="24" s="1"/>
  <c r="AI77" i="24" s="1"/>
  <c r="AG49" i="24"/>
  <c r="AH49" i="24" s="1"/>
  <c r="AI49" i="24" s="1"/>
  <c r="AG71" i="24"/>
  <c r="AH71" i="24" s="1"/>
  <c r="AI71" i="24" s="1"/>
  <c r="AG147" i="24"/>
  <c r="AH147" i="24" s="1"/>
  <c r="AI147" i="24" s="1"/>
  <c r="AG13" i="24"/>
  <c r="AH13" i="24" s="1"/>
  <c r="AI13" i="24" s="1"/>
  <c r="AG39" i="24"/>
  <c r="AH39" i="24" s="1"/>
  <c r="AI39" i="24" s="1"/>
  <c r="AG144" i="24"/>
  <c r="AH144" i="24" s="1"/>
  <c r="AI144" i="24" s="1"/>
  <c r="AG125" i="24"/>
  <c r="AH125" i="24" s="1"/>
  <c r="AI125" i="24" s="1"/>
  <c r="AG137" i="24"/>
  <c r="AH137" i="24" s="1"/>
  <c r="AI137" i="24" s="1"/>
  <c r="AG84" i="24"/>
  <c r="AH84" i="24" s="1"/>
  <c r="AI84" i="24" s="1"/>
  <c r="AG102" i="24"/>
  <c r="AH102" i="24" s="1"/>
  <c r="AI102" i="24" s="1"/>
  <c r="AG51" i="24"/>
  <c r="AH51" i="24" s="1"/>
  <c r="AI51" i="24" s="1"/>
  <c r="AT110" i="17"/>
  <c r="AC110" i="24"/>
  <c r="AD110" i="24" s="1"/>
  <c r="AE110" i="24" s="1"/>
  <c r="AO19" i="25"/>
  <c r="AQ19" i="25" s="1"/>
  <c r="AO155" i="17"/>
  <c r="AM155" i="17"/>
  <c r="Q155" i="17"/>
  <c r="W155" i="17"/>
  <c r="N155" i="17"/>
  <c r="T155" i="17"/>
  <c r="R6" i="17"/>
  <c r="X6" i="17"/>
  <c r="O6" i="17"/>
  <c r="AC6" i="24" s="1"/>
  <c r="U6" i="17"/>
  <c r="O120" i="17"/>
  <c r="O38" i="17"/>
  <c r="O80" i="17"/>
  <c r="O30" i="17"/>
  <c r="O92" i="17"/>
  <c r="O68" i="17"/>
  <c r="O90" i="17"/>
  <c r="O126" i="17"/>
  <c r="O17" i="17"/>
  <c r="O42" i="17"/>
  <c r="O37" i="17"/>
  <c r="O70" i="17"/>
  <c r="AC70" i="24" s="1"/>
  <c r="AD70" i="24" s="1"/>
  <c r="AE70" i="24" s="1"/>
  <c r="O139" i="17"/>
  <c r="O16" i="17"/>
  <c r="O125" i="17"/>
  <c r="O118" i="17"/>
  <c r="O145" i="17"/>
  <c r="O148" i="17"/>
  <c r="O60" i="17"/>
  <c r="O77" i="17"/>
  <c r="O18" i="17"/>
  <c r="O111" i="17"/>
  <c r="O46" i="17"/>
  <c r="AC46" i="24" s="1"/>
  <c r="AD46" i="24" s="1"/>
  <c r="AE46" i="24" s="1"/>
  <c r="O56" i="17"/>
  <c r="O134" i="17"/>
  <c r="O130" i="17"/>
  <c r="O97" i="17"/>
  <c r="O136" i="17"/>
  <c r="O114" i="17"/>
  <c r="O48" i="17"/>
  <c r="O102" i="17"/>
  <c r="AC102" i="24" s="1"/>
  <c r="AD102" i="24" s="1"/>
  <c r="AE102" i="24" s="1"/>
  <c r="O127" i="17"/>
  <c r="O124" i="17"/>
  <c r="O104" i="17"/>
  <c r="O66" i="17"/>
  <c r="O69" i="17"/>
  <c r="O88" i="17"/>
  <c r="O103" i="17"/>
  <c r="O138" i="17"/>
  <c r="O84" i="17"/>
  <c r="O54" i="17"/>
  <c r="AC54" i="24" s="1"/>
  <c r="AD54" i="24" s="1"/>
  <c r="AE54" i="24" s="1"/>
  <c r="O132" i="17"/>
  <c r="O121" i="17"/>
  <c r="O116" i="17"/>
  <c r="O71" i="17"/>
  <c r="O151" i="17"/>
  <c r="O96" i="17"/>
  <c r="O11" i="17"/>
  <c r="O99" i="17"/>
  <c r="O109" i="17"/>
  <c r="O58" i="17"/>
  <c r="O87" i="17"/>
  <c r="O50" i="17"/>
  <c r="O129" i="17"/>
  <c r="O65" i="17"/>
  <c r="O41" i="17"/>
  <c r="AC41" i="24" s="1"/>
  <c r="AD41" i="24" s="1"/>
  <c r="AE41" i="24" s="1"/>
  <c r="O143" i="17"/>
  <c r="O40" i="17"/>
  <c r="O144" i="17"/>
  <c r="O106" i="17"/>
  <c r="O135" i="17"/>
  <c r="O67" i="17"/>
  <c r="O128" i="17"/>
  <c r="O147" i="17"/>
  <c r="O119" i="17"/>
  <c r="O100" i="17"/>
  <c r="O152" i="17"/>
  <c r="O27" i="17"/>
  <c r="O44" i="17"/>
  <c r="AC44" i="24" s="1"/>
  <c r="AD44" i="24" s="1"/>
  <c r="AE44" i="24" s="1"/>
  <c r="O86" i="17"/>
  <c r="O74" i="17"/>
  <c r="O91" i="17"/>
  <c r="O28" i="17"/>
  <c r="O34" i="17"/>
  <c r="O62" i="17"/>
  <c r="O133" i="17"/>
  <c r="O115" i="17"/>
  <c r="O19" i="17"/>
  <c r="O117" i="17"/>
  <c r="O81" i="17"/>
  <c r="O43" i="17"/>
  <c r="O51" i="17"/>
  <c r="O141" i="17"/>
  <c r="O146" i="17"/>
  <c r="O29" i="17"/>
  <c r="O47" i="17"/>
  <c r="O79" i="17"/>
  <c r="AC79" i="24" s="1"/>
  <c r="AD79" i="24" s="1"/>
  <c r="AE79" i="24" s="1"/>
  <c r="O98" i="17"/>
  <c r="O49" i="17"/>
  <c r="O150" i="17"/>
  <c r="O24" i="17"/>
  <c r="O149" i="17"/>
  <c r="O122" i="17"/>
  <c r="O76" i="17"/>
  <c r="O107" i="17"/>
  <c r="O142" i="17"/>
  <c r="O63" i="17"/>
  <c r="O22" i="17"/>
  <c r="AC22" i="24" s="1"/>
  <c r="AD22" i="24" s="1"/>
  <c r="AE22" i="24" s="1"/>
  <c r="O72" i="17"/>
  <c r="O108" i="17"/>
  <c r="O112" i="17"/>
  <c r="O73" i="17"/>
  <c r="O55" i="17"/>
  <c r="O101" i="17"/>
  <c r="O61" i="17"/>
  <c r="O15" i="17"/>
  <c r="O7" i="17"/>
  <c r="O35" i="17"/>
  <c r="O52" i="17"/>
  <c r="O9" i="17"/>
  <c r="O93" i="17"/>
  <c r="O131" i="17"/>
  <c r="O13" i="17"/>
  <c r="O39" i="17"/>
  <c r="O113" i="17"/>
  <c r="AC113" i="24" s="1"/>
  <c r="AD113" i="24" s="1"/>
  <c r="AE113" i="24" s="1"/>
  <c r="O10" i="17"/>
  <c r="O95" i="17"/>
  <c r="O85" i="17"/>
  <c r="O12" i="17"/>
  <c r="O123" i="17"/>
  <c r="O21" i="17"/>
  <c r="O137" i="17"/>
  <c r="O75" i="17"/>
  <c r="O25" i="17"/>
  <c r="O23" i="17"/>
  <c r="O57" i="17"/>
  <c r="O53" i="17"/>
  <c r="O20" i="17"/>
  <c r="O78" i="17"/>
  <c r="O105" i="17"/>
  <c r="O83" i="17"/>
  <c r="O94" i="17"/>
  <c r="O64" i="17"/>
  <c r="O33" i="17"/>
  <c r="AC33" i="24" s="1"/>
  <c r="AD33" i="24" s="1"/>
  <c r="AE33" i="24" s="1"/>
  <c r="O8" i="17"/>
  <c r="O59" i="17"/>
  <c r="O153" i="17"/>
  <c r="O140" i="17"/>
  <c r="O89" i="17"/>
  <c r="O26" i="17"/>
  <c r="O32" i="17"/>
  <c r="O154" i="17"/>
  <c r="AO16" i="25"/>
  <c r="AQ16" i="25" s="1"/>
  <c r="AO22" i="25"/>
  <c r="AQ22" i="25" s="1"/>
  <c r="AO23" i="25"/>
  <c r="AQ23" i="25" s="1"/>
  <c r="AU84" i="17"/>
  <c r="AU132" i="17"/>
  <c r="U6" i="25"/>
  <c r="AU83" i="17"/>
  <c r="AU54" i="17"/>
  <c r="AU143" i="17"/>
  <c r="AU28" i="17"/>
  <c r="AU14" i="17"/>
  <c r="T6" i="25"/>
  <c r="AU91" i="17"/>
  <c r="AU89" i="17"/>
  <c r="AU131" i="17"/>
  <c r="AU79" i="17"/>
  <c r="AU93" i="17"/>
  <c r="AU137" i="17"/>
  <c r="U20" i="25"/>
  <c r="AU81" i="17"/>
  <c r="AU56" i="17"/>
  <c r="AU66" i="17"/>
  <c r="U21" i="25"/>
  <c r="AU62" i="17"/>
  <c r="AU105" i="17"/>
  <c r="AU111" i="17"/>
  <c r="T11" i="25"/>
  <c r="AU109" i="17"/>
  <c r="AU97" i="17"/>
  <c r="U9" i="25"/>
  <c r="AR24" i="25"/>
  <c r="U23" i="25"/>
  <c r="U12" i="25"/>
  <c r="U14" i="25"/>
  <c r="T20" i="25"/>
  <c r="AU51" i="17"/>
  <c r="T9" i="25"/>
  <c r="T13" i="25"/>
  <c r="T8" i="25"/>
  <c r="U19" i="25"/>
  <c r="U7" i="25"/>
  <c r="U10" i="25"/>
  <c r="U17" i="25"/>
  <c r="AU7" i="17"/>
  <c r="N16" i="25"/>
  <c r="AU52" i="17"/>
  <c r="T23" i="25"/>
  <c r="T7" i="25"/>
  <c r="T14" i="25"/>
  <c r="AU119" i="17"/>
  <c r="AU101" i="17"/>
  <c r="AU73" i="17"/>
  <c r="U11" i="25"/>
  <c r="AT82" i="17"/>
  <c r="U13" i="25"/>
  <c r="U8" i="25"/>
  <c r="AU92" i="17"/>
  <c r="U15" i="25"/>
  <c r="T16" i="25"/>
  <c r="AU138" i="17"/>
  <c r="U16" i="25"/>
  <c r="T15" i="25"/>
  <c r="T12" i="25"/>
  <c r="AU133" i="17"/>
  <c r="AU86" i="17"/>
  <c r="T10" i="25"/>
  <c r="T17" i="25"/>
  <c r="AU149" i="17"/>
  <c r="AU11" i="17"/>
  <c r="U18" i="25"/>
  <c r="N17" i="25"/>
  <c r="AU42" i="17"/>
  <c r="AU112" i="17"/>
  <c r="T19" i="25"/>
  <c r="T22" i="25"/>
  <c r="T18" i="25"/>
  <c r="AU95" i="17"/>
  <c r="N23" i="25"/>
  <c r="T21" i="25"/>
  <c r="N13" i="25"/>
  <c r="AU78" i="17"/>
  <c r="N22" i="25"/>
  <c r="AU104" i="17"/>
  <c r="AU76" i="17"/>
  <c r="N19" i="25"/>
  <c r="N15" i="25"/>
  <c r="N8" i="25"/>
  <c r="N20" i="25"/>
  <c r="AU55" i="17"/>
  <c r="N21" i="25"/>
  <c r="N18" i="25"/>
  <c r="N12" i="25"/>
  <c r="AU38" i="17"/>
  <c r="N6" i="25"/>
  <c r="W14" i="25"/>
  <c r="N7" i="25"/>
  <c r="N10" i="25"/>
  <c r="N9" i="25"/>
  <c r="N11" i="25"/>
  <c r="W12" i="25"/>
  <c r="N14" i="25"/>
  <c r="Q14" i="25"/>
  <c r="AU116" i="17"/>
  <c r="AU151" i="17"/>
  <c r="AU152" i="17"/>
  <c r="W15" i="25"/>
  <c r="AU61" i="17"/>
  <c r="AU40" i="17"/>
  <c r="AU139" i="17"/>
  <c r="AU32" i="17"/>
  <c r="AU117" i="17"/>
  <c r="AU44" i="17"/>
  <c r="AU120" i="17"/>
  <c r="AU98" i="17"/>
  <c r="AU30" i="17"/>
  <c r="AU23" i="17"/>
  <c r="AU41" i="17"/>
  <c r="AU13" i="17"/>
  <c r="AU37" i="17"/>
  <c r="Q17" i="25"/>
  <c r="AU153" i="17"/>
  <c r="Q22" i="25"/>
  <c r="AU99" i="17"/>
  <c r="AU141" i="17"/>
  <c r="AU31" i="17"/>
  <c r="AU12" i="17"/>
  <c r="AU129" i="17"/>
  <c r="AU96" i="17"/>
  <c r="AU122" i="17"/>
  <c r="W8" i="25"/>
  <c r="W18" i="25"/>
  <c r="W20" i="25"/>
  <c r="AU8" i="17"/>
  <c r="W10" i="25"/>
  <c r="AU130" i="17"/>
  <c r="W7" i="25"/>
  <c r="Q18" i="25"/>
  <c r="AU100" i="17"/>
  <c r="AU142" i="17"/>
  <c r="AU22" i="17"/>
  <c r="AU146" i="17"/>
  <c r="AU34" i="17"/>
  <c r="AU70" i="17"/>
  <c r="AU108" i="17"/>
  <c r="AU49" i="17"/>
  <c r="AU136" i="17"/>
  <c r="AU71" i="17"/>
  <c r="AU75" i="17"/>
  <c r="AU128" i="17"/>
  <c r="AU88" i="17"/>
  <c r="AU150" i="17"/>
  <c r="AU10" i="17"/>
  <c r="R15" i="25"/>
  <c r="Q12" i="25"/>
  <c r="AU90" i="17"/>
  <c r="Q9" i="25"/>
  <c r="AU114" i="17"/>
  <c r="AU15" i="17"/>
  <c r="AU144" i="17"/>
  <c r="AU85" i="17"/>
  <c r="AU134" i="17"/>
  <c r="AU126" i="17"/>
  <c r="Q13" i="25"/>
  <c r="W9" i="25"/>
  <c r="W21" i="25"/>
  <c r="AU25" i="17"/>
  <c r="AU60" i="17"/>
  <c r="W17" i="25"/>
  <c r="W13" i="25"/>
  <c r="AU63" i="17"/>
  <c r="AU35" i="17"/>
  <c r="AU68" i="17"/>
  <c r="AU127" i="17"/>
  <c r="AU148" i="17"/>
  <c r="AU103" i="17"/>
  <c r="AU154" i="17"/>
  <c r="AU58" i="17"/>
  <c r="AU50" i="17"/>
  <c r="Q16" i="25"/>
  <c r="AU80" i="17"/>
  <c r="AU57" i="17"/>
  <c r="AU29" i="17"/>
  <c r="AU145" i="17"/>
  <c r="AU59" i="17"/>
  <c r="AU94" i="17"/>
  <c r="AU72" i="17"/>
  <c r="Q21" i="25"/>
  <c r="AU113" i="17"/>
  <c r="AU106" i="17"/>
  <c r="AU65" i="17"/>
  <c r="AU87" i="17"/>
  <c r="AU125" i="17"/>
  <c r="AU124" i="17"/>
  <c r="W22" i="25"/>
  <c r="W6" i="25"/>
  <c r="W23" i="25"/>
  <c r="AU121" i="17"/>
  <c r="W11" i="25"/>
  <c r="W19" i="25"/>
  <c r="X15" i="25"/>
  <c r="AU123" i="17"/>
  <c r="AU46" i="17"/>
  <c r="Q15" i="25"/>
  <c r="Q23" i="25"/>
  <c r="AU102" i="17"/>
  <c r="AU115" i="17"/>
  <c r="AU135" i="17"/>
  <c r="AU64" i="17"/>
  <c r="AU77" i="17"/>
  <c r="Q8" i="25"/>
  <c r="AU118" i="17"/>
  <c r="AU140" i="17"/>
  <c r="AU36" i="17"/>
  <c r="AU9" i="17"/>
  <c r="Q11" i="25"/>
  <c r="AU147" i="17"/>
  <c r="Q6" i="25"/>
  <c r="Q10" i="25"/>
  <c r="AU18" i="17"/>
  <c r="AU16" i="17"/>
  <c r="Q20" i="25"/>
  <c r="AU82" i="17"/>
  <c r="Q19" i="25"/>
  <c r="AU110" i="17"/>
  <c r="AU17" i="17"/>
  <c r="Q7" i="25"/>
  <c r="X12" i="25"/>
  <c r="W16" i="25"/>
  <c r="U22" i="25" l="1"/>
  <c r="AT6" i="17"/>
  <c r="AT9" i="17"/>
  <c r="AC9" i="24"/>
  <c r="AD9" i="24" s="1"/>
  <c r="AE9" i="24" s="1"/>
  <c r="AT76" i="17"/>
  <c r="AC76" i="24"/>
  <c r="AD76" i="24" s="1"/>
  <c r="AE76" i="24" s="1"/>
  <c r="AT19" i="17"/>
  <c r="AC19" i="24"/>
  <c r="AD19" i="24" s="1"/>
  <c r="AE19" i="24" s="1"/>
  <c r="AT103" i="17"/>
  <c r="AC103" i="24"/>
  <c r="AD103" i="24" s="1"/>
  <c r="AE103" i="24" s="1"/>
  <c r="AT57" i="17"/>
  <c r="AC57" i="24"/>
  <c r="AD57" i="24" s="1"/>
  <c r="AE57" i="24" s="1"/>
  <c r="AT86" i="17"/>
  <c r="AC86" i="24"/>
  <c r="AD86" i="24" s="1"/>
  <c r="AE86" i="24" s="1"/>
  <c r="AT83" i="17"/>
  <c r="AC83" i="24"/>
  <c r="AD83" i="24" s="1"/>
  <c r="AE83" i="24" s="1"/>
  <c r="AT7" i="17"/>
  <c r="AC7" i="24"/>
  <c r="AD7" i="24" s="1"/>
  <c r="AE7" i="24" s="1"/>
  <c r="AT141" i="17"/>
  <c r="AC141" i="24"/>
  <c r="AD141" i="24" s="1"/>
  <c r="AE141" i="24" s="1"/>
  <c r="AT152" i="17"/>
  <c r="AC152" i="24"/>
  <c r="AD152" i="24" s="1"/>
  <c r="AE152" i="24" s="1"/>
  <c r="AT58" i="17"/>
  <c r="AC58" i="24"/>
  <c r="AD58" i="24" s="1"/>
  <c r="AE58" i="24" s="1"/>
  <c r="AT121" i="17"/>
  <c r="AC121" i="24"/>
  <c r="AD121" i="24" s="1"/>
  <c r="AE121" i="24" s="1"/>
  <c r="AT66" i="17"/>
  <c r="AC66" i="24"/>
  <c r="AD66" i="24" s="1"/>
  <c r="AE66" i="24" s="1"/>
  <c r="AT60" i="17"/>
  <c r="AC60" i="24"/>
  <c r="AD60" i="24" s="1"/>
  <c r="AE60" i="24" s="1"/>
  <c r="AT80" i="17"/>
  <c r="AC80" i="24"/>
  <c r="AD80" i="24" s="1"/>
  <c r="AE80" i="24" s="1"/>
  <c r="AT105" i="17"/>
  <c r="AC105" i="24"/>
  <c r="AD105" i="24" s="1"/>
  <c r="AE105" i="24" s="1"/>
  <c r="AT39" i="17"/>
  <c r="AC39" i="24"/>
  <c r="AD39" i="24" s="1"/>
  <c r="AE39" i="24" s="1"/>
  <c r="AT15" i="17"/>
  <c r="AC15" i="24"/>
  <c r="AD15" i="24" s="1"/>
  <c r="AE15" i="24" s="1"/>
  <c r="AT150" i="17"/>
  <c r="AC150" i="24"/>
  <c r="AD150" i="24" s="1"/>
  <c r="AE150" i="24" s="1"/>
  <c r="AT34" i="17"/>
  <c r="AC34" i="24"/>
  <c r="AD34" i="24" s="1"/>
  <c r="AE34" i="24" s="1"/>
  <c r="AT100" i="17"/>
  <c r="AC100" i="24"/>
  <c r="AD100" i="24" s="1"/>
  <c r="AE100" i="24" s="1"/>
  <c r="AT40" i="17"/>
  <c r="AC40" i="24"/>
  <c r="AD40" i="24" s="1"/>
  <c r="AE40" i="24" s="1"/>
  <c r="AT109" i="17"/>
  <c r="AC109" i="24"/>
  <c r="AD109" i="24" s="1"/>
  <c r="AE109" i="24" s="1"/>
  <c r="AT132" i="17"/>
  <c r="AC132" i="24"/>
  <c r="AD132" i="24" s="1"/>
  <c r="AE132" i="24" s="1"/>
  <c r="AT104" i="17"/>
  <c r="AC104" i="24"/>
  <c r="AD104" i="24" s="1"/>
  <c r="AE104" i="24" s="1"/>
  <c r="AT130" i="17"/>
  <c r="AC130" i="24"/>
  <c r="AD130" i="24" s="1"/>
  <c r="AE130" i="24" s="1"/>
  <c r="AT148" i="17"/>
  <c r="AC148" i="24"/>
  <c r="AD148" i="24" s="1"/>
  <c r="AE148" i="24" s="1"/>
  <c r="AT42" i="17"/>
  <c r="AC42" i="24"/>
  <c r="AD42" i="24" s="1"/>
  <c r="AE42" i="24" s="1"/>
  <c r="AT38" i="17"/>
  <c r="AC38" i="24"/>
  <c r="AD38" i="24" s="1"/>
  <c r="AE38" i="24" s="1"/>
  <c r="AT153" i="17"/>
  <c r="AC153" i="24"/>
  <c r="AD153" i="24" s="1"/>
  <c r="AE153" i="24" s="1"/>
  <c r="AT78" i="17"/>
  <c r="AC78" i="24"/>
  <c r="AD78" i="24" s="1"/>
  <c r="AE78" i="24" s="1"/>
  <c r="AT21" i="17"/>
  <c r="AC21" i="24"/>
  <c r="AD21" i="24" s="1"/>
  <c r="AE21" i="24" s="1"/>
  <c r="AT13" i="17"/>
  <c r="AC13" i="24"/>
  <c r="AD13" i="24" s="1"/>
  <c r="AE13" i="24" s="1"/>
  <c r="AT61" i="17"/>
  <c r="AC61" i="24"/>
  <c r="AD61" i="24" s="1"/>
  <c r="AE61" i="24" s="1"/>
  <c r="AT63" i="17"/>
  <c r="AC63" i="24"/>
  <c r="AD63" i="24" s="1"/>
  <c r="AE63" i="24" s="1"/>
  <c r="AT49" i="17"/>
  <c r="AC49" i="24"/>
  <c r="AD49" i="24" s="1"/>
  <c r="AE49" i="24" s="1"/>
  <c r="AT43" i="17"/>
  <c r="AC43" i="24"/>
  <c r="AD43" i="24" s="1"/>
  <c r="AE43" i="24" s="1"/>
  <c r="AT28" i="17"/>
  <c r="AC28" i="24"/>
  <c r="AD28" i="24" s="1"/>
  <c r="AE28" i="24" s="1"/>
  <c r="AT119" i="17"/>
  <c r="AC119" i="24"/>
  <c r="AD119" i="24" s="1"/>
  <c r="AE119" i="24" s="1"/>
  <c r="AT143" i="17"/>
  <c r="AC143" i="24"/>
  <c r="AD143" i="24" s="1"/>
  <c r="AE143" i="24" s="1"/>
  <c r="AT99" i="17"/>
  <c r="AC99" i="24"/>
  <c r="AD99" i="24" s="1"/>
  <c r="AE99" i="24" s="1"/>
  <c r="AT124" i="17"/>
  <c r="AC124" i="24"/>
  <c r="AD124" i="24" s="1"/>
  <c r="AE124" i="24" s="1"/>
  <c r="AT134" i="17"/>
  <c r="AC134" i="24"/>
  <c r="AD134" i="24" s="1"/>
  <c r="AE134" i="24" s="1"/>
  <c r="AT145" i="17"/>
  <c r="AC145" i="24"/>
  <c r="AD145" i="24" s="1"/>
  <c r="AE145" i="24" s="1"/>
  <c r="AT17" i="17"/>
  <c r="AC17" i="24"/>
  <c r="AD17" i="24" s="1"/>
  <c r="AE17" i="24" s="1"/>
  <c r="AT120" i="17"/>
  <c r="AC120" i="24"/>
  <c r="AD120" i="24" s="1"/>
  <c r="AE120" i="24" s="1"/>
  <c r="AT24" i="17"/>
  <c r="AC24" i="24"/>
  <c r="AD24" i="24" s="1"/>
  <c r="AE24" i="24" s="1"/>
  <c r="AT144" i="17"/>
  <c r="AC144" i="24"/>
  <c r="AD144" i="24" s="1"/>
  <c r="AE144" i="24" s="1"/>
  <c r="AT37" i="17"/>
  <c r="AC37" i="24"/>
  <c r="AD37" i="24" s="1"/>
  <c r="AE37" i="24" s="1"/>
  <c r="AT140" i="17"/>
  <c r="AC140" i="24"/>
  <c r="AD140" i="24" s="1"/>
  <c r="AE140" i="24" s="1"/>
  <c r="AT137" i="17"/>
  <c r="AC137" i="24"/>
  <c r="AD137" i="24" s="1"/>
  <c r="AE137" i="24" s="1"/>
  <c r="AT51" i="17"/>
  <c r="AC51" i="24"/>
  <c r="AD51" i="24" s="1"/>
  <c r="AE51" i="24" s="1"/>
  <c r="AT59" i="17"/>
  <c r="AC59" i="24"/>
  <c r="AD59" i="24" s="1"/>
  <c r="AE59" i="24" s="1"/>
  <c r="AT20" i="17"/>
  <c r="AC20" i="24"/>
  <c r="AD20" i="24" s="1"/>
  <c r="AE20" i="24" s="1"/>
  <c r="AT123" i="17"/>
  <c r="AC123" i="24"/>
  <c r="AD123" i="24" s="1"/>
  <c r="AE123" i="24" s="1"/>
  <c r="AT131" i="17"/>
  <c r="AC131" i="24"/>
  <c r="AD131" i="24" s="1"/>
  <c r="AE131" i="24" s="1"/>
  <c r="AT101" i="17"/>
  <c r="AC101" i="24"/>
  <c r="AD101" i="24" s="1"/>
  <c r="AE101" i="24" s="1"/>
  <c r="AT142" i="17"/>
  <c r="AC142" i="24"/>
  <c r="AD142" i="24" s="1"/>
  <c r="AE142" i="24" s="1"/>
  <c r="AT98" i="17"/>
  <c r="AC98" i="24"/>
  <c r="AD98" i="24" s="1"/>
  <c r="AE98" i="24" s="1"/>
  <c r="AT81" i="17"/>
  <c r="AC81" i="24"/>
  <c r="AD81" i="24" s="1"/>
  <c r="AE81" i="24" s="1"/>
  <c r="AT91" i="17"/>
  <c r="AC91" i="24"/>
  <c r="AD91" i="24" s="1"/>
  <c r="AE91" i="24" s="1"/>
  <c r="AT147" i="17"/>
  <c r="AC147" i="24"/>
  <c r="AD147" i="24" s="1"/>
  <c r="AE147" i="24" s="1"/>
  <c r="AT11" i="17"/>
  <c r="AC11" i="24"/>
  <c r="AD11" i="24" s="1"/>
  <c r="AE11" i="24" s="1"/>
  <c r="AT84" i="17"/>
  <c r="AC84" i="24"/>
  <c r="AD84" i="24" s="1"/>
  <c r="AE84" i="24" s="1"/>
  <c r="AT127" i="17"/>
  <c r="AC127" i="24"/>
  <c r="AD127" i="24" s="1"/>
  <c r="AE127" i="24" s="1"/>
  <c r="AT56" i="17"/>
  <c r="AC56" i="24"/>
  <c r="AD56" i="24" s="1"/>
  <c r="AE56" i="24" s="1"/>
  <c r="AT118" i="17"/>
  <c r="AC118" i="24"/>
  <c r="AD118" i="24" s="1"/>
  <c r="AE118" i="24" s="1"/>
  <c r="AT126" i="17"/>
  <c r="AC126" i="24"/>
  <c r="AD126" i="24" s="1"/>
  <c r="AE126" i="24" s="1"/>
  <c r="U155" i="17"/>
  <c r="AT75" i="17"/>
  <c r="AC75" i="24"/>
  <c r="AD75" i="24" s="1"/>
  <c r="AE75" i="24" s="1"/>
  <c r="AT72" i="17"/>
  <c r="AC72" i="24"/>
  <c r="AD72" i="24" s="1"/>
  <c r="AE72" i="24" s="1"/>
  <c r="AT62" i="17"/>
  <c r="AC62" i="24"/>
  <c r="AD62" i="24" s="1"/>
  <c r="AE62" i="24" s="1"/>
  <c r="AT97" i="17"/>
  <c r="AC97" i="24"/>
  <c r="AD97" i="24" s="1"/>
  <c r="AE97" i="24" s="1"/>
  <c r="AT154" i="17"/>
  <c r="AC154" i="24"/>
  <c r="AD154" i="24" s="1"/>
  <c r="AE154" i="24" s="1"/>
  <c r="AT8" i="17"/>
  <c r="AC8" i="24"/>
  <c r="AD8" i="24" s="1"/>
  <c r="AE8" i="24" s="1"/>
  <c r="AT53" i="17"/>
  <c r="AC53" i="24"/>
  <c r="AD53" i="24" s="1"/>
  <c r="AE53" i="24" s="1"/>
  <c r="AT12" i="17"/>
  <c r="AC12" i="24"/>
  <c r="AD12" i="24" s="1"/>
  <c r="AE12" i="24" s="1"/>
  <c r="AT93" i="17"/>
  <c r="AC93" i="24"/>
  <c r="AD93" i="24" s="1"/>
  <c r="AE93" i="24" s="1"/>
  <c r="AT55" i="17"/>
  <c r="AC55" i="24"/>
  <c r="AD55" i="24" s="1"/>
  <c r="AE55" i="24" s="1"/>
  <c r="AT107" i="17"/>
  <c r="AC107" i="24"/>
  <c r="AD107" i="24" s="1"/>
  <c r="AE107" i="24" s="1"/>
  <c r="AT117" i="17"/>
  <c r="AC117" i="24"/>
  <c r="AD117" i="24" s="1"/>
  <c r="AE117" i="24" s="1"/>
  <c r="AT74" i="17"/>
  <c r="AC74" i="24"/>
  <c r="AD74" i="24" s="1"/>
  <c r="AE74" i="24" s="1"/>
  <c r="AT128" i="17"/>
  <c r="AC128" i="24"/>
  <c r="AD128" i="24" s="1"/>
  <c r="AE128" i="24" s="1"/>
  <c r="AT65" i="17"/>
  <c r="AC65" i="24"/>
  <c r="AD65" i="24" s="1"/>
  <c r="AE65" i="24" s="1"/>
  <c r="AT96" i="17"/>
  <c r="AC96" i="24"/>
  <c r="AD96" i="24" s="1"/>
  <c r="AE96" i="24" s="1"/>
  <c r="AT138" i="17"/>
  <c r="AC138" i="24"/>
  <c r="AD138" i="24" s="1"/>
  <c r="AE138" i="24" s="1"/>
  <c r="AT125" i="17"/>
  <c r="AC125" i="24"/>
  <c r="AD125" i="24" s="1"/>
  <c r="AE125" i="24" s="1"/>
  <c r="AT90" i="17"/>
  <c r="AC90" i="24"/>
  <c r="AD90" i="24" s="1"/>
  <c r="AE90" i="24" s="1"/>
  <c r="AD6" i="24"/>
  <c r="X155" i="17"/>
  <c r="AT32" i="17"/>
  <c r="AC32" i="24"/>
  <c r="AD32" i="24" s="1"/>
  <c r="AE32" i="24" s="1"/>
  <c r="AT85" i="17"/>
  <c r="AC85" i="24"/>
  <c r="AD85" i="24" s="1"/>
  <c r="AE85" i="24" s="1"/>
  <c r="AT73" i="17"/>
  <c r="AC73" i="24"/>
  <c r="AD73" i="24" s="1"/>
  <c r="AE73" i="24" s="1"/>
  <c r="AT47" i="17"/>
  <c r="AC47" i="24"/>
  <c r="AD47" i="24" s="1"/>
  <c r="AE47" i="24" s="1"/>
  <c r="AT67" i="17"/>
  <c r="AC67" i="24"/>
  <c r="AD67" i="24" s="1"/>
  <c r="AE67" i="24" s="1"/>
  <c r="AT129" i="17"/>
  <c r="AC129" i="24"/>
  <c r="AD129" i="24" s="1"/>
  <c r="AE129" i="24" s="1"/>
  <c r="AT151" i="17"/>
  <c r="AC151" i="24"/>
  <c r="AD151" i="24" s="1"/>
  <c r="AE151" i="24" s="1"/>
  <c r="AT48" i="17"/>
  <c r="AC48" i="24"/>
  <c r="AD48" i="24" s="1"/>
  <c r="AE48" i="24" s="1"/>
  <c r="AT111" i="17"/>
  <c r="AC111" i="24"/>
  <c r="AD111" i="24" s="1"/>
  <c r="AE111" i="24" s="1"/>
  <c r="AT16" i="17"/>
  <c r="AC16" i="24"/>
  <c r="AD16" i="24" s="1"/>
  <c r="AE16" i="24" s="1"/>
  <c r="AT68" i="17"/>
  <c r="AC68" i="24"/>
  <c r="AD68" i="24" s="1"/>
  <c r="AE68" i="24" s="1"/>
  <c r="AT26" i="17"/>
  <c r="AC26" i="24"/>
  <c r="AD26" i="24" s="1"/>
  <c r="AE26" i="24" s="1"/>
  <c r="AT64" i="17"/>
  <c r="AC64" i="24"/>
  <c r="AD64" i="24" s="1"/>
  <c r="AE64" i="24" s="1"/>
  <c r="AT23" i="17"/>
  <c r="AC23" i="24"/>
  <c r="AD23" i="24" s="1"/>
  <c r="AE23" i="24" s="1"/>
  <c r="AT95" i="17"/>
  <c r="AC95" i="24"/>
  <c r="AD95" i="24" s="1"/>
  <c r="AE95" i="24" s="1"/>
  <c r="AT52" i="17"/>
  <c r="AC52" i="24"/>
  <c r="AD52" i="24" s="1"/>
  <c r="AE52" i="24" s="1"/>
  <c r="AT112" i="17"/>
  <c r="AC112" i="24"/>
  <c r="AD112" i="24" s="1"/>
  <c r="AE112" i="24" s="1"/>
  <c r="AT122" i="17"/>
  <c r="AC122" i="24"/>
  <c r="AD122" i="24" s="1"/>
  <c r="AE122" i="24" s="1"/>
  <c r="AT29" i="17"/>
  <c r="AC29" i="24"/>
  <c r="AD29" i="24" s="1"/>
  <c r="AE29" i="24" s="1"/>
  <c r="AT115" i="17"/>
  <c r="AC115" i="24"/>
  <c r="AD115" i="24" s="1"/>
  <c r="AE115" i="24" s="1"/>
  <c r="AT135" i="17"/>
  <c r="AC135" i="24"/>
  <c r="AD135" i="24" s="1"/>
  <c r="AE135" i="24" s="1"/>
  <c r="AT71" i="17"/>
  <c r="AC71" i="24"/>
  <c r="AD71" i="24" s="1"/>
  <c r="AE71" i="24" s="1"/>
  <c r="AT114" i="17"/>
  <c r="AC114" i="24"/>
  <c r="AD114" i="24" s="1"/>
  <c r="AE114" i="24" s="1"/>
  <c r="AT18" i="17"/>
  <c r="AC18" i="24"/>
  <c r="AD18" i="24" s="1"/>
  <c r="AE18" i="24" s="1"/>
  <c r="AT92" i="17"/>
  <c r="AC92" i="24"/>
  <c r="AD92" i="24" s="1"/>
  <c r="AE92" i="24" s="1"/>
  <c r="R155" i="17"/>
  <c r="AG6" i="24"/>
  <c r="AT50" i="17"/>
  <c r="AC50" i="24"/>
  <c r="AD50" i="24" s="1"/>
  <c r="AE50" i="24" s="1"/>
  <c r="AT88" i="17"/>
  <c r="AC88" i="24"/>
  <c r="AD88" i="24" s="1"/>
  <c r="AE88" i="24" s="1"/>
  <c r="AT139" i="17"/>
  <c r="AC139" i="24"/>
  <c r="AD139" i="24" s="1"/>
  <c r="AE139" i="24" s="1"/>
  <c r="AT89" i="17"/>
  <c r="AC89" i="24"/>
  <c r="AD89" i="24" s="1"/>
  <c r="AE89" i="24" s="1"/>
  <c r="AT94" i="17"/>
  <c r="AC94" i="24"/>
  <c r="AD94" i="24" s="1"/>
  <c r="AE94" i="24" s="1"/>
  <c r="AT25" i="17"/>
  <c r="AC25" i="24"/>
  <c r="AD25" i="24" s="1"/>
  <c r="AE25" i="24" s="1"/>
  <c r="AT10" i="17"/>
  <c r="AC10" i="24"/>
  <c r="AD10" i="24" s="1"/>
  <c r="AE10" i="24" s="1"/>
  <c r="AT35" i="17"/>
  <c r="AC35" i="24"/>
  <c r="AD35" i="24" s="1"/>
  <c r="AE35" i="24" s="1"/>
  <c r="AT108" i="17"/>
  <c r="AC108" i="24"/>
  <c r="AD108" i="24" s="1"/>
  <c r="AE108" i="24" s="1"/>
  <c r="AT149" i="17"/>
  <c r="AC149" i="24"/>
  <c r="AD149" i="24" s="1"/>
  <c r="AE149" i="24" s="1"/>
  <c r="AT146" i="17"/>
  <c r="AC146" i="24"/>
  <c r="AD146" i="24" s="1"/>
  <c r="AE146" i="24" s="1"/>
  <c r="AT133" i="17"/>
  <c r="AC133" i="24"/>
  <c r="AD133" i="24" s="1"/>
  <c r="AE133" i="24" s="1"/>
  <c r="AT27" i="17"/>
  <c r="AC27" i="24"/>
  <c r="AD27" i="24" s="1"/>
  <c r="AE27" i="24" s="1"/>
  <c r="AT106" i="17"/>
  <c r="AC106" i="24"/>
  <c r="AD106" i="24" s="1"/>
  <c r="AE106" i="24" s="1"/>
  <c r="AT87" i="17"/>
  <c r="AC87" i="24"/>
  <c r="AD87" i="24" s="1"/>
  <c r="AE87" i="24" s="1"/>
  <c r="AT116" i="17"/>
  <c r="AC116" i="24"/>
  <c r="AD116" i="24" s="1"/>
  <c r="AE116" i="24" s="1"/>
  <c r="AT69" i="17"/>
  <c r="AC69" i="24"/>
  <c r="AD69" i="24" s="1"/>
  <c r="AE69" i="24" s="1"/>
  <c r="AT136" i="17"/>
  <c r="AC136" i="24"/>
  <c r="AD136" i="24" s="1"/>
  <c r="AE136" i="24" s="1"/>
  <c r="AT77" i="17"/>
  <c r="AC77" i="24"/>
  <c r="AD77" i="24" s="1"/>
  <c r="AE77" i="24" s="1"/>
  <c r="AT30" i="17"/>
  <c r="AC30" i="24"/>
  <c r="AD30" i="24" s="1"/>
  <c r="AE30" i="24" s="1"/>
  <c r="O155" i="17"/>
  <c r="O20" i="25"/>
  <c r="AT6" i="25"/>
  <c r="O6" i="25"/>
  <c r="O8" i="25"/>
  <c r="O21" i="25"/>
  <c r="O13" i="25"/>
  <c r="AT22" i="17"/>
  <c r="O16" i="25"/>
  <c r="AT79" i="17"/>
  <c r="O23" i="25"/>
  <c r="AT41" i="17"/>
  <c r="O12" i="25"/>
  <c r="AT102" i="17"/>
  <c r="O19" i="25"/>
  <c r="AT46" i="17"/>
  <c r="O9" i="25"/>
  <c r="AT33" i="17"/>
  <c r="O10" i="25"/>
  <c r="AT113" i="17"/>
  <c r="O15" i="25"/>
  <c r="AT44" i="17"/>
  <c r="O7" i="25"/>
  <c r="AT54" i="17"/>
  <c r="O11" i="25"/>
  <c r="AT70" i="17"/>
  <c r="O18" i="25"/>
  <c r="AO24" i="25"/>
  <c r="AI24" i="25"/>
  <c r="O17" i="25"/>
  <c r="O22" i="25"/>
  <c r="T24" i="25"/>
  <c r="U24" i="25"/>
  <c r="W24" i="25"/>
  <c r="N24" i="25"/>
  <c r="Q24" i="25"/>
  <c r="X14" i="25"/>
  <c r="R13" i="25"/>
  <c r="R14" i="25"/>
  <c r="R23" i="25"/>
  <c r="O14" i="25"/>
  <c r="AT36" i="17"/>
  <c r="AU67" i="17"/>
  <c r="R7" i="25"/>
  <c r="X16" i="25"/>
  <c r="AU19" i="17"/>
  <c r="R6" i="25"/>
  <c r="X19" i="25"/>
  <c r="X11" i="25"/>
  <c r="X23" i="25"/>
  <c r="AU107" i="17"/>
  <c r="X22" i="25"/>
  <c r="X17" i="25"/>
  <c r="X21" i="25"/>
  <c r="AU43" i="17"/>
  <c r="R12" i="25"/>
  <c r="X7" i="25"/>
  <c r="AU47" i="17"/>
  <c r="X10" i="25"/>
  <c r="X20" i="25"/>
  <c r="R22" i="25"/>
  <c r="AU6" i="17"/>
  <c r="AU26" i="17"/>
  <c r="R18" i="25"/>
  <c r="AU53" i="17"/>
  <c r="R11" i="25"/>
  <c r="AU24" i="17"/>
  <c r="R16" i="25"/>
  <c r="AU74" i="17"/>
  <c r="R19" i="25"/>
  <c r="AU69" i="17"/>
  <c r="R20" i="25"/>
  <c r="AU33" i="17"/>
  <c r="R10" i="25"/>
  <c r="AU20" i="17"/>
  <c r="R8" i="25"/>
  <c r="X18" i="25"/>
  <c r="X8" i="25"/>
  <c r="AU39" i="17"/>
  <c r="R17" i="25"/>
  <c r="X6" i="25"/>
  <c r="AU21" i="17"/>
  <c r="R21" i="25"/>
  <c r="X13" i="25"/>
  <c r="AU27" i="17"/>
  <c r="X9" i="25"/>
  <c r="AU48" i="17"/>
  <c r="R9" i="25"/>
  <c r="AT13" i="25" l="1"/>
  <c r="AT20" i="25"/>
  <c r="AT21" i="25"/>
  <c r="AH6" i="24"/>
  <c r="AG155" i="24"/>
  <c r="AC155" i="24"/>
  <c r="AD155" i="24"/>
  <c r="AE155" i="24" s="1"/>
  <c r="AE6" i="24"/>
  <c r="AT19" i="25"/>
  <c r="AT23" i="25"/>
  <c r="AT155" i="17"/>
  <c r="AU155" i="17"/>
  <c r="AU17" i="25"/>
  <c r="AU6" i="25"/>
  <c r="AT14" i="25"/>
  <c r="AT11" i="25"/>
  <c r="AT15" i="25"/>
  <c r="AU11" i="25"/>
  <c r="AT9" i="25"/>
  <c r="AT12" i="25"/>
  <c r="AT16" i="25"/>
  <c r="AT18" i="25"/>
  <c r="AT7" i="25"/>
  <c r="AT10" i="25"/>
  <c r="AQ24" i="25"/>
  <c r="AU16" i="25"/>
  <c r="AU10" i="25"/>
  <c r="AT17" i="25"/>
  <c r="AU13" i="25"/>
  <c r="AU21" i="25"/>
  <c r="AU9" i="25"/>
  <c r="AT8" i="25"/>
  <c r="O24" i="25"/>
  <c r="AT22" i="25"/>
  <c r="X24" i="25"/>
  <c r="R24" i="25"/>
  <c r="AU8" i="25"/>
  <c r="AU20" i="25"/>
  <c r="AU14" i="25"/>
  <c r="AU12" i="25"/>
  <c r="AU7" i="25"/>
  <c r="AU19" i="25"/>
  <c r="AU18" i="25"/>
  <c r="AU23" i="25"/>
  <c r="AU15" i="25"/>
  <c r="AU22" i="25"/>
  <c r="AI6" i="24" l="1"/>
  <c r="AH155" i="24"/>
  <c r="AI155" i="24" s="1"/>
  <c r="AT24" i="25"/>
  <c r="AU24" i="25"/>
  <c r="J17" i="17" l="1"/>
  <c r="J46" i="17"/>
  <c r="J119" i="17"/>
  <c r="J126" i="17"/>
  <c r="J72" i="17"/>
  <c r="J108" i="17"/>
  <c r="J140" i="17"/>
  <c r="J109" i="17"/>
  <c r="J146" i="17"/>
  <c r="J142" i="17"/>
  <c r="J60" i="17"/>
  <c r="J50" i="17"/>
  <c r="J7" i="17"/>
  <c r="J138" i="17"/>
  <c r="J11" i="17"/>
  <c r="J101" i="17"/>
  <c r="J88" i="17"/>
  <c r="J149" i="17"/>
  <c r="J55" i="17"/>
  <c r="J120" i="17"/>
  <c r="J36" i="17"/>
  <c r="J67" i="17"/>
  <c r="J154" i="17"/>
  <c r="J62" i="17"/>
  <c r="J111" i="17"/>
  <c r="J75" i="17"/>
  <c r="J106" i="17"/>
  <c r="J68" i="17"/>
  <c r="J84" i="17"/>
  <c r="J121" i="17"/>
  <c r="H8" i="25"/>
  <c r="J39" i="17"/>
  <c r="H17" i="25"/>
  <c r="H18" i="25"/>
  <c r="H9" i="25"/>
  <c r="J80" i="17"/>
  <c r="J137" i="17"/>
  <c r="J57" i="17"/>
  <c r="H13" i="25"/>
  <c r="J113" i="17"/>
  <c r="J42" i="17"/>
  <c r="J136" i="17"/>
  <c r="J56" i="17"/>
  <c r="J118" i="17"/>
  <c r="J63" i="17"/>
  <c r="J124" i="17"/>
  <c r="J92" i="17"/>
  <c r="J77" i="17"/>
  <c r="J61" i="17"/>
  <c r="H11" i="25"/>
  <c r="J21" i="17"/>
  <c r="J129" i="17"/>
  <c r="J128" i="17"/>
  <c r="G80" i="17"/>
  <c r="G126" i="17"/>
  <c r="H19" i="25"/>
  <c r="J139" i="17"/>
  <c r="J123" i="17"/>
  <c r="J107" i="17"/>
  <c r="J91" i="17"/>
  <c r="J76" i="17"/>
  <c r="H14" i="25"/>
  <c r="G36" i="17"/>
  <c r="G121" i="17"/>
  <c r="G120" i="17"/>
  <c r="H15" i="25"/>
  <c r="H23" i="25"/>
  <c r="J132" i="17"/>
  <c r="J130" i="17"/>
  <c r="J114" i="17"/>
  <c r="J98" i="17"/>
  <c r="J83" i="17"/>
  <c r="H20" i="25"/>
  <c r="J49" i="17"/>
  <c r="J117" i="17"/>
  <c r="J54" i="17"/>
  <c r="H16" i="25"/>
  <c r="J127" i="17"/>
  <c r="J29" i="17"/>
  <c r="J20" i="17"/>
  <c r="G20" i="17"/>
  <c r="G52" i="17"/>
  <c r="J52" i="17"/>
  <c r="J93" i="17"/>
  <c r="J13" i="17"/>
  <c r="G17" i="17"/>
  <c r="G6" i="25" s="1"/>
  <c r="H6" i="25"/>
  <c r="J151" i="17"/>
  <c r="G151" i="17"/>
  <c r="J10" i="17"/>
  <c r="J153" i="17"/>
  <c r="J40" i="17"/>
  <c r="J143" i="17"/>
  <c r="G143" i="17"/>
  <c r="J58" i="17"/>
  <c r="G58" i="17"/>
  <c r="G113" i="17"/>
  <c r="G42" i="17"/>
  <c r="J87" i="17"/>
  <c r="J16" i="17"/>
  <c r="J97" i="17"/>
  <c r="J152" i="17"/>
  <c r="J96" i="17"/>
  <c r="H12" i="25"/>
  <c r="J32" i="17"/>
  <c r="G32" i="17"/>
  <c r="H7" i="25"/>
  <c r="J44" i="17"/>
  <c r="G44" i="17"/>
  <c r="J73" i="17"/>
  <c r="G73" i="17"/>
  <c r="J95" i="17"/>
  <c r="G95" i="17"/>
  <c r="J51" i="17"/>
  <c r="J35" i="17"/>
  <c r="H21" i="25"/>
  <c r="J145" i="17"/>
  <c r="J66" i="17"/>
  <c r="J144" i="17"/>
  <c r="J81" i="17"/>
  <c r="J135" i="17"/>
  <c r="G149" i="17"/>
  <c r="G117" i="17"/>
  <c r="G101" i="17"/>
  <c r="G54" i="17"/>
  <c r="J70" i="17"/>
  <c r="G70" i="17"/>
  <c r="G137" i="17"/>
  <c r="G66" i="17"/>
  <c r="G144" i="17"/>
  <c r="G81" i="17"/>
  <c r="J30" i="17"/>
  <c r="J43" i="17"/>
  <c r="J27" i="17"/>
  <c r="J28" i="17"/>
  <c r="J15" i="17"/>
  <c r="J9" i="17"/>
  <c r="H22" i="25"/>
  <c r="H155" i="17"/>
  <c r="J82" i="17"/>
  <c r="J18" i="17"/>
  <c r="J19" i="17"/>
  <c r="J45" i="17"/>
  <c r="J9" i="25" s="1"/>
  <c r="J59" i="17"/>
  <c r="J115" i="17"/>
  <c r="J122" i="17"/>
  <c r="G19" i="17"/>
  <c r="G45" i="17"/>
  <c r="G136" i="17"/>
  <c r="G57" i="17"/>
  <c r="G16" i="17"/>
  <c r="G118" i="17"/>
  <c r="G63" i="17"/>
  <c r="G124" i="17"/>
  <c r="G92" i="17"/>
  <c r="G77" i="17"/>
  <c r="G61" i="17"/>
  <c r="J48" i="17"/>
  <c r="J150" i="17"/>
  <c r="J94" i="17"/>
  <c r="G140" i="17"/>
  <c r="G108" i="17"/>
  <c r="G139" i="17"/>
  <c r="G123" i="17"/>
  <c r="G107" i="17"/>
  <c r="G91" i="17"/>
  <c r="G76" i="17"/>
  <c r="G60" i="17"/>
  <c r="J12" i="17"/>
  <c r="J89" i="17"/>
  <c r="J26" i="17"/>
  <c r="J33" i="17"/>
  <c r="J64" i="17"/>
  <c r="G39" i="17"/>
  <c r="G132" i="17"/>
  <c r="G146" i="17"/>
  <c r="G130" i="17"/>
  <c r="G114" i="17"/>
  <c r="G98" i="17"/>
  <c r="G83" i="17"/>
  <c r="G67" i="17"/>
  <c r="G51" i="17"/>
  <c r="G35" i="17"/>
  <c r="G145" i="17"/>
  <c r="G10" i="17"/>
  <c r="J103" i="17"/>
  <c r="J110" i="17"/>
  <c r="G110" i="17"/>
  <c r="J23" i="17"/>
  <c r="G23" i="17"/>
  <c r="J133" i="17"/>
  <c r="G133" i="17"/>
  <c r="J86" i="17"/>
  <c r="G86" i="17"/>
  <c r="G38" i="17"/>
  <c r="J38" i="17"/>
  <c r="J125" i="17"/>
  <c r="J78" i="17"/>
  <c r="J74" i="17"/>
  <c r="G8" i="17"/>
  <c r="J8" i="17"/>
  <c r="J131" i="17"/>
  <c r="G41" i="17"/>
  <c r="J41" i="17"/>
  <c r="J14" i="17"/>
  <c r="J102" i="17"/>
  <c r="J85" i="17"/>
  <c r="J148" i="17"/>
  <c r="J134" i="17"/>
  <c r="G87" i="17"/>
  <c r="G29" i="17"/>
  <c r="G13" i="17"/>
  <c r="G97" i="17"/>
  <c r="G152" i="17"/>
  <c r="G96" i="17"/>
  <c r="H10" i="25"/>
  <c r="J31" i="17"/>
  <c r="G31" i="17"/>
  <c r="J141" i="17"/>
  <c r="G103" i="17"/>
  <c r="G40" i="17"/>
  <c r="J65" i="17"/>
  <c r="J104" i="17"/>
  <c r="J100" i="17"/>
  <c r="J112" i="17"/>
  <c r="J147" i="17"/>
  <c r="G18" i="17"/>
  <c r="G65" i="17"/>
  <c r="J69" i="17"/>
  <c r="G9" i="17"/>
  <c r="G111" i="17"/>
  <c r="G48" i="17"/>
  <c r="G150" i="17"/>
  <c r="G94" i="17"/>
  <c r="J116" i="17"/>
  <c r="J99" i="17"/>
  <c r="G28" i="17"/>
  <c r="G12" i="17"/>
  <c r="G89" i="17"/>
  <c r="G26" i="17"/>
  <c r="G88" i="17"/>
  <c r="G33" i="17"/>
  <c r="G127" i="17"/>
  <c r="G64" i="17"/>
  <c r="J47" i="17"/>
  <c r="J90" i="17"/>
  <c r="G71" i="17"/>
  <c r="J71" i="17"/>
  <c r="G22" i="17"/>
  <c r="J22" i="17"/>
  <c r="J53" i="17"/>
  <c r="G153" i="17"/>
  <c r="G82" i="17"/>
  <c r="G102" i="17"/>
  <c r="G27" i="17"/>
  <c r="J105" i="17"/>
  <c r="J34" i="17"/>
  <c r="G142" i="17"/>
  <c r="G55" i="17"/>
  <c r="G7" i="17"/>
  <c r="G141" i="17"/>
  <c r="G125" i="17"/>
  <c r="G109" i="17"/>
  <c r="G93" i="17"/>
  <c r="G78" i="17"/>
  <c r="G62" i="17"/>
  <c r="G46" i="17"/>
  <c r="G30" i="17"/>
  <c r="J37" i="17"/>
  <c r="G24" i="17"/>
  <c r="J24" i="17"/>
  <c r="G25" i="17"/>
  <c r="J25" i="17"/>
  <c r="G37" i="17"/>
  <c r="G104" i="17"/>
  <c r="G134" i="17"/>
  <c r="G15" i="17"/>
  <c r="G100" i="17"/>
  <c r="G85" i="17"/>
  <c r="G69" i="17"/>
  <c r="G116" i="17"/>
  <c r="G147" i="17"/>
  <c r="G131" i="17"/>
  <c r="G115" i="17"/>
  <c r="G99" i="17"/>
  <c r="G84" i="17"/>
  <c r="G68" i="17"/>
  <c r="G47" i="17"/>
  <c r="G148" i="17"/>
  <c r="G154" i="17"/>
  <c r="G138" i="17"/>
  <c r="G122" i="17"/>
  <c r="G106" i="17"/>
  <c r="G90" i="17"/>
  <c r="G75" i="17"/>
  <c r="G59" i="17"/>
  <c r="G43" i="17"/>
  <c r="G11" i="17"/>
  <c r="G74" i="17"/>
  <c r="G14" i="17"/>
  <c r="G135" i="17"/>
  <c r="G72" i="17"/>
  <c r="G79" i="17"/>
  <c r="J79" i="17"/>
  <c r="G53" i="17"/>
  <c r="G6" i="17"/>
  <c r="J6" i="17"/>
  <c r="G119" i="17"/>
  <c r="G56" i="17"/>
  <c r="G21" i="17"/>
  <c r="G129" i="17"/>
  <c r="G50" i="17"/>
  <c r="G128" i="17"/>
  <c r="G105" i="17"/>
  <c r="G34" i="17"/>
  <c r="G112" i="17"/>
  <c r="G49" i="17"/>
  <c r="I9" i="25" l="1"/>
  <c r="J11" i="25"/>
  <c r="I11" i="25" s="1"/>
  <c r="J21" i="25"/>
  <c r="I21" i="25" s="1"/>
  <c r="J6" i="25"/>
  <c r="I6" i="25" s="1"/>
  <c r="G11" i="25"/>
  <c r="J20" i="25"/>
  <c r="I20" i="25" s="1"/>
  <c r="G17" i="25"/>
  <c r="J13" i="25"/>
  <c r="I13" i="25" s="1"/>
  <c r="J17" i="25"/>
  <c r="I17" i="25" s="1"/>
  <c r="J15" i="25"/>
  <c r="I15" i="25" s="1"/>
  <c r="J10" i="25"/>
  <c r="I10" i="25" s="1"/>
  <c r="J12" i="25"/>
  <c r="I12" i="25" s="1"/>
  <c r="G10" i="25"/>
  <c r="G8" i="25"/>
  <c r="G18" i="25"/>
  <c r="G16" i="25"/>
  <c r="G9" i="25"/>
  <c r="G23" i="25"/>
  <c r="J19" i="25"/>
  <c r="I19" i="25" s="1"/>
  <c r="G13" i="25"/>
  <c r="G19" i="25"/>
  <c r="G20" i="25"/>
  <c r="G15" i="25"/>
  <c r="G21" i="25"/>
  <c r="G12" i="25"/>
  <c r="G7" i="25"/>
  <c r="J14" i="25"/>
  <c r="I14" i="25" s="1"/>
  <c r="J7" i="25"/>
  <c r="I7" i="25" s="1"/>
  <c r="G14" i="25"/>
  <c r="H24" i="25"/>
  <c r="G155" i="17"/>
  <c r="G22" i="25"/>
  <c r="J155" i="17"/>
  <c r="K52" i="17" s="1"/>
  <c r="J18" i="25"/>
  <c r="I18" i="25" s="1"/>
  <c r="J23" i="25"/>
  <c r="I23" i="25" s="1"/>
  <c r="J16" i="25"/>
  <c r="I16" i="25" s="1"/>
  <c r="J22" i="25"/>
  <c r="I22" i="25" s="1"/>
  <c r="J8" i="25"/>
  <c r="I8" i="25" s="1"/>
  <c r="K57" i="17" l="1"/>
  <c r="L57" i="17" s="1"/>
  <c r="K7" i="17"/>
  <c r="L7" i="17" s="1"/>
  <c r="K65" i="17"/>
  <c r="L65" i="17" s="1"/>
  <c r="K104" i="17"/>
  <c r="L104" i="17" s="1"/>
  <c r="K121" i="17"/>
  <c r="L121" i="17" s="1"/>
  <c r="G24" i="25"/>
  <c r="K130" i="17"/>
  <c r="L130" i="17" s="1"/>
  <c r="K30" i="17"/>
  <c r="L30" i="17" s="1"/>
  <c r="K145" i="17"/>
  <c r="L145" i="17" s="1"/>
  <c r="K124" i="17"/>
  <c r="L124" i="17" s="1"/>
  <c r="K119" i="17"/>
  <c r="L119" i="17" s="1"/>
  <c r="K149" i="17"/>
  <c r="L149" i="17" s="1"/>
  <c r="K95" i="17"/>
  <c r="L95" i="17" s="1"/>
  <c r="K140" i="17"/>
  <c r="L140" i="17" s="1"/>
  <c r="K123" i="17"/>
  <c r="L123" i="17" s="1"/>
  <c r="K39" i="17"/>
  <c r="L39" i="17" s="1"/>
  <c r="K146" i="17"/>
  <c r="L146" i="17" s="1"/>
  <c r="K75" i="17"/>
  <c r="L75" i="17" s="1"/>
  <c r="K109" i="17"/>
  <c r="L109" i="17" s="1"/>
  <c r="K70" i="17"/>
  <c r="L70" i="17" s="1"/>
  <c r="K76" i="17"/>
  <c r="L76" i="17" s="1"/>
  <c r="K37" i="17"/>
  <c r="K102" i="17"/>
  <c r="L102" i="17" s="1"/>
  <c r="K46" i="17"/>
  <c r="L46" i="17" s="1"/>
  <c r="K120" i="17"/>
  <c r="L120" i="17" s="1"/>
  <c r="K28" i="17"/>
  <c r="L28" i="17" s="1"/>
  <c r="K105" i="17"/>
  <c r="L105" i="17" s="1"/>
  <c r="K80" i="17"/>
  <c r="L80" i="17" s="1"/>
  <c r="K83" i="17"/>
  <c r="L83" i="17" s="1"/>
  <c r="K14" i="17"/>
  <c r="L14" i="17" s="1"/>
  <c r="K26" i="17"/>
  <c r="L26" i="17" s="1"/>
  <c r="K111" i="17"/>
  <c r="L111" i="17" s="1"/>
  <c r="K48" i="17"/>
  <c r="L48" i="17" s="1"/>
  <c r="K148" i="17"/>
  <c r="L148" i="17" s="1"/>
  <c r="K141" i="17"/>
  <c r="L141" i="17" s="1"/>
  <c r="K139" i="17"/>
  <c r="L139" i="17" s="1"/>
  <c r="K99" i="17"/>
  <c r="L99" i="17" s="1"/>
  <c r="K74" i="17"/>
  <c r="L74" i="17" s="1"/>
  <c r="K97" i="17"/>
  <c r="L97" i="17" s="1"/>
  <c r="K23" i="17"/>
  <c r="L23" i="17" s="1"/>
  <c r="K108" i="17"/>
  <c r="L108" i="17" s="1"/>
  <c r="K9" i="17"/>
  <c r="L9" i="17" s="1"/>
  <c r="K101" i="17"/>
  <c r="L101" i="17" s="1"/>
  <c r="K143" i="17"/>
  <c r="L143" i="17" s="1"/>
  <c r="K55" i="17"/>
  <c r="L55" i="17" s="1"/>
  <c r="K92" i="17"/>
  <c r="L92" i="17" s="1"/>
  <c r="K35" i="17"/>
  <c r="L35" i="17" s="1"/>
  <c r="K50" i="17"/>
  <c r="L50" i="17" s="1"/>
  <c r="K100" i="17"/>
  <c r="L100" i="17" s="1"/>
  <c r="K91" i="17"/>
  <c r="L91" i="17" s="1"/>
  <c r="K127" i="17"/>
  <c r="L127" i="17" s="1"/>
  <c r="K152" i="17"/>
  <c r="L152" i="17" s="1"/>
  <c r="K107" i="17"/>
  <c r="L107" i="17" s="1"/>
  <c r="K16" i="17"/>
  <c r="L16" i="17" s="1"/>
  <c r="K34" i="17"/>
  <c r="L34" i="17" s="1"/>
  <c r="K137" i="17"/>
  <c r="L137" i="17" s="1"/>
  <c r="K153" i="17"/>
  <c r="L153" i="17" s="1"/>
  <c r="K82" i="17"/>
  <c r="L82" i="17" s="1"/>
  <c r="K89" i="17"/>
  <c r="L89" i="17" s="1"/>
  <c r="K61" i="17"/>
  <c r="L61" i="17" s="1"/>
  <c r="K49" i="17"/>
  <c r="L49" i="17" s="1"/>
  <c r="K147" i="17"/>
  <c r="L147" i="17" s="1"/>
  <c r="K94" i="17"/>
  <c r="L94" i="17" s="1"/>
  <c r="L52" i="17"/>
  <c r="K11" i="17"/>
  <c r="L11" i="17" s="1"/>
  <c r="K98" i="17"/>
  <c r="L98" i="17" s="1"/>
  <c r="K59" i="17"/>
  <c r="L59" i="17" s="1"/>
  <c r="K116" i="17"/>
  <c r="L116" i="17" s="1"/>
  <c r="K38" i="17"/>
  <c r="L38" i="17" s="1"/>
  <c r="K56" i="17"/>
  <c r="L56" i="17" s="1"/>
  <c r="K20" i="17"/>
  <c r="L20" i="17" s="1"/>
  <c r="K42" i="17"/>
  <c r="L42" i="17" s="1"/>
  <c r="K18" i="17"/>
  <c r="K43" i="17"/>
  <c r="L43" i="17" s="1"/>
  <c r="K81" i="17"/>
  <c r="L81" i="17" s="1"/>
  <c r="K132" i="17"/>
  <c r="L132" i="17" s="1"/>
  <c r="K122" i="17"/>
  <c r="L122" i="17" s="1"/>
  <c r="K71" i="17"/>
  <c r="K22" i="17"/>
  <c r="K25" i="17"/>
  <c r="K78" i="17"/>
  <c r="L78" i="17" s="1"/>
  <c r="K33" i="17"/>
  <c r="L33" i="17" s="1"/>
  <c r="K112" i="17"/>
  <c r="L112" i="17" s="1"/>
  <c r="K79" i="17"/>
  <c r="K54" i="17"/>
  <c r="L54" i="17" s="1"/>
  <c r="K96" i="17"/>
  <c r="L96" i="17" s="1"/>
  <c r="K60" i="17"/>
  <c r="L60" i="17" s="1"/>
  <c r="K125" i="17"/>
  <c r="L125" i="17" s="1"/>
  <c r="K29" i="17"/>
  <c r="L29" i="17" s="1"/>
  <c r="K8" i="17"/>
  <c r="K77" i="17"/>
  <c r="L77" i="17" s="1"/>
  <c r="K15" i="17"/>
  <c r="L15" i="17" s="1"/>
  <c r="K12" i="17"/>
  <c r="L12" i="17" s="1"/>
  <c r="K106" i="17"/>
  <c r="L106" i="17" s="1"/>
  <c r="K44" i="17"/>
  <c r="K72" i="17"/>
  <c r="L72" i="17" s="1"/>
  <c r="K135" i="17"/>
  <c r="L135" i="17" s="1"/>
  <c r="K110" i="17"/>
  <c r="L110" i="17" s="1"/>
  <c r="K31" i="17"/>
  <c r="K21" i="17"/>
  <c r="L21" i="17" s="1"/>
  <c r="K117" i="17"/>
  <c r="L117" i="17" s="1"/>
  <c r="K53" i="17"/>
  <c r="K128" i="17"/>
  <c r="L128" i="17" s="1"/>
  <c r="K45" i="17"/>
  <c r="K40" i="17"/>
  <c r="L40" i="17" s="1"/>
  <c r="K151" i="17"/>
  <c r="L151" i="17" s="1"/>
  <c r="K142" i="17"/>
  <c r="L142" i="17" s="1"/>
  <c r="K136" i="17"/>
  <c r="L136" i="17" s="1"/>
  <c r="K66" i="17"/>
  <c r="L66" i="17" s="1"/>
  <c r="K113" i="17"/>
  <c r="L113" i="17" s="1"/>
  <c r="K69" i="17"/>
  <c r="L69" i="17" s="1"/>
  <c r="K131" i="17"/>
  <c r="L131" i="17" s="1"/>
  <c r="K138" i="17"/>
  <c r="L138" i="17" s="1"/>
  <c r="K126" i="17"/>
  <c r="L126" i="17" s="1"/>
  <c r="K51" i="17"/>
  <c r="L51" i="17" s="1"/>
  <c r="K150" i="17"/>
  <c r="L150" i="17" s="1"/>
  <c r="K86" i="17"/>
  <c r="L86" i="17" s="1"/>
  <c r="K27" i="17"/>
  <c r="L27" i="17" s="1"/>
  <c r="K47" i="17"/>
  <c r="L47" i="17" s="1"/>
  <c r="K58" i="17"/>
  <c r="L58" i="17" s="1"/>
  <c r="K84" i="17"/>
  <c r="L84" i="17" s="1"/>
  <c r="K103" i="17"/>
  <c r="L103" i="17" s="1"/>
  <c r="K10" i="17"/>
  <c r="L10" i="17" s="1"/>
  <c r="J24" i="25"/>
  <c r="I24" i="25" s="1"/>
  <c r="K88" i="17"/>
  <c r="L88" i="17" s="1"/>
  <c r="K24" i="17"/>
  <c r="K154" i="17"/>
  <c r="L154" i="17" s="1"/>
  <c r="K68" i="17"/>
  <c r="L68" i="17" s="1"/>
  <c r="K17" i="17"/>
  <c r="K129" i="17"/>
  <c r="L129" i="17" s="1"/>
  <c r="K32" i="17"/>
  <c r="L32" i="17" s="1"/>
  <c r="K93" i="17"/>
  <c r="L93" i="17" s="1"/>
  <c r="K64" i="17"/>
  <c r="L64" i="17" s="1"/>
  <c r="K13" i="17"/>
  <c r="L13" i="17" s="1"/>
  <c r="K67" i="17"/>
  <c r="L67" i="17" s="1"/>
  <c r="K133" i="17"/>
  <c r="L133" i="17" s="1"/>
  <c r="K87" i="17"/>
  <c r="L87" i="17" s="1"/>
  <c r="K115" i="17"/>
  <c r="L115" i="17" s="1"/>
  <c r="K90" i="17"/>
  <c r="L90" i="17" s="1"/>
  <c r="K114" i="17"/>
  <c r="L114" i="17" s="1"/>
  <c r="K144" i="17"/>
  <c r="L144" i="17" s="1"/>
  <c r="K134" i="17"/>
  <c r="L134" i="17" s="1"/>
  <c r="K19" i="17"/>
  <c r="K36" i="17"/>
  <c r="L36" i="17" s="1"/>
  <c r="K41" i="17"/>
  <c r="K6" i="17"/>
  <c r="K62" i="17"/>
  <c r="L62" i="17" s="1"/>
  <c r="K118" i="17"/>
  <c r="L118" i="17" s="1"/>
  <c r="K85" i="17"/>
  <c r="L85" i="17" s="1"/>
  <c r="K63" i="17"/>
  <c r="L63" i="17" s="1"/>
  <c r="K73" i="17"/>
  <c r="L73" i="17" s="1"/>
  <c r="Z30" i="17" l="1"/>
  <c r="AV30" i="17" s="1"/>
  <c r="Z130" i="17"/>
  <c r="AV130" i="17" s="1"/>
  <c r="Z95" i="17"/>
  <c r="AV95" i="17" s="1"/>
  <c r="AS121" i="17"/>
  <c r="Z149" i="17"/>
  <c r="AV149" i="17" s="1"/>
  <c r="Z104" i="17"/>
  <c r="AV104" i="17" s="1"/>
  <c r="Z119" i="17"/>
  <c r="AV119" i="17" s="1"/>
  <c r="AS124" i="17"/>
  <c r="AS7" i="17"/>
  <c r="Z145" i="17"/>
  <c r="AV145" i="17" s="1"/>
  <c r="AS57" i="17"/>
  <c r="Z121" i="17"/>
  <c r="AV121" i="17" s="1"/>
  <c r="AS119" i="17"/>
  <c r="AS104" i="17"/>
  <c r="AS149" i="17"/>
  <c r="Z124" i="17"/>
  <c r="AV124" i="17" s="1"/>
  <c r="AS95" i="17"/>
  <c r="AS30" i="17"/>
  <c r="AS130" i="17"/>
  <c r="AS145" i="17"/>
  <c r="Z7" i="17"/>
  <c r="M7" i="24" s="1"/>
  <c r="Z57" i="17"/>
  <c r="M57" i="24" s="1"/>
  <c r="AS136" i="17"/>
  <c r="Z136" i="17"/>
  <c r="AS122" i="17"/>
  <c r="Z122" i="17"/>
  <c r="Z147" i="17"/>
  <c r="AS147" i="17"/>
  <c r="Z61" i="17"/>
  <c r="AS61" i="17"/>
  <c r="Z152" i="17"/>
  <c r="AS152" i="17"/>
  <c r="Z143" i="17"/>
  <c r="AS143" i="17"/>
  <c r="AS83" i="17"/>
  <c r="Z83" i="17"/>
  <c r="Z76" i="17"/>
  <c r="AS76" i="17"/>
  <c r="AS118" i="17"/>
  <c r="Z118" i="17"/>
  <c r="Z114" i="17"/>
  <c r="AS114" i="17"/>
  <c r="AS93" i="17"/>
  <c r="Z93" i="17"/>
  <c r="Z51" i="17"/>
  <c r="AS51" i="17"/>
  <c r="Z135" i="17"/>
  <c r="AS135" i="17"/>
  <c r="L79" i="17"/>
  <c r="K23" i="25"/>
  <c r="Z116" i="17"/>
  <c r="AS116" i="17"/>
  <c r="Z49" i="17"/>
  <c r="AS49" i="17"/>
  <c r="AS107" i="17"/>
  <c r="Z107" i="17"/>
  <c r="AS55" i="17"/>
  <c r="Z55" i="17"/>
  <c r="AS99" i="17"/>
  <c r="Z99" i="17"/>
  <c r="AS14" i="17"/>
  <c r="Z14" i="17"/>
  <c r="Z140" i="17"/>
  <c r="AS140" i="17"/>
  <c r="K12" i="25"/>
  <c r="L41" i="17"/>
  <c r="L17" i="17"/>
  <c r="K6" i="25"/>
  <c r="AS84" i="17"/>
  <c r="Z84" i="17"/>
  <c r="Z58" i="17"/>
  <c r="AS58" i="17"/>
  <c r="AS59" i="17"/>
  <c r="Z59" i="17"/>
  <c r="AS133" i="17"/>
  <c r="Z133" i="17"/>
  <c r="Z68" i="17"/>
  <c r="AS68" i="17"/>
  <c r="Z47" i="17"/>
  <c r="AS47" i="17"/>
  <c r="AS138" i="17"/>
  <c r="Z138" i="17"/>
  <c r="AS128" i="17"/>
  <c r="Z128" i="17"/>
  <c r="L44" i="17"/>
  <c r="K7" i="25"/>
  <c r="K15" i="25"/>
  <c r="L8" i="17"/>
  <c r="Z33" i="17"/>
  <c r="AS33" i="17"/>
  <c r="Z43" i="17"/>
  <c r="AS43" i="17"/>
  <c r="AS98" i="17"/>
  <c r="Z98" i="17"/>
  <c r="L14" i="25"/>
  <c r="AS52" i="17"/>
  <c r="Z52" i="17"/>
  <c r="Z89" i="17"/>
  <c r="AS89" i="17"/>
  <c r="Z127" i="17"/>
  <c r="AS127" i="17"/>
  <c r="AS101" i="17"/>
  <c r="Z101" i="17"/>
  <c r="Z139" i="17"/>
  <c r="AS139" i="17"/>
  <c r="AS80" i="17"/>
  <c r="Z80" i="17"/>
  <c r="AS70" i="17"/>
  <c r="Z70" i="17"/>
  <c r="Z150" i="17"/>
  <c r="AS150" i="17"/>
  <c r="AS110" i="17"/>
  <c r="Z110" i="17"/>
  <c r="AS54" i="17"/>
  <c r="Z54" i="17"/>
  <c r="Z38" i="17"/>
  <c r="AS38" i="17"/>
  <c r="AS16" i="17"/>
  <c r="Z16" i="17"/>
  <c r="AS92" i="17"/>
  <c r="Z92" i="17"/>
  <c r="Z74" i="17"/>
  <c r="AS74" i="17"/>
  <c r="Z26" i="17"/>
  <c r="AS26" i="17"/>
  <c r="AS102" i="17"/>
  <c r="Z102" i="17"/>
  <c r="AS123" i="17"/>
  <c r="Z123" i="17"/>
  <c r="L6" i="17"/>
  <c r="K22" i="25"/>
  <c r="K155" i="17"/>
  <c r="Z115" i="17"/>
  <c r="AS115" i="17"/>
  <c r="AS129" i="17"/>
  <c r="Z129" i="17"/>
  <c r="AS103" i="17"/>
  <c r="Z103" i="17"/>
  <c r="Z142" i="17"/>
  <c r="AS142" i="17"/>
  <c r="Z132" i="17"/>
  <c r="AS132" i="17"/>
  <c r="L37" i="17"/>
  <c r="K17" i="25"/>
  <c r="AS87" i="17"/>
  <c r="Z87" i="17"/>
  <c r="Z126" i="17"/>
  <c r="AS126" i="17"/>
  <c r="L45" i="17"/>
  <c r="K9" i="25"/>
  <c r="AS72" i="17"/>
  <c r="Z72" i="17"/>
  <c r="Z112" i="17"/>
  <c r="AS112" i="17"/>
  <c r="Z36" i="17"/>
  <c r="AS36" i="17"/>
  <c r="AS73" i="17"/>
  <c r="Z73" i="17"/>
  <c r="L19" i="17"/>
  <c r="K21" i="25"/>
  <c r="Z154" i="17"/>
  <c r="AS154" i="17"/>
  <c r="AS131" i="17"/>
  <c r="Z131" i="17"/>
  <c r="K11" i="25"/>
  <c r="L53" i="17"/>
  <c r="Z106" i="17"/>
  <c r="AS106" i="17"/>
  <c r="Z29" i="17"/>
  <c r="AS29" i="17"/>
  <c r="AS78" i="17"/>
  <c r="Z78" i="17"/>
  <c r="K8" i="25"/>
  <c r="L18" i="17"/>
  <c r="Z11" i="17"/>
  <c r="AS11" i="17"/>
  <c r="Z82" i="17"/>
  <c r="AS82" i="17"/>
  <c r="Z9" i="17"/>
  <c r="AS9" i="17"/>
  <c r="AS141" i="17"/>
  <c r="Z141" i="17"/>
  <c r="Z105" i="17"/>
  <c r="AS105" i="17"/>
  <c r="AS109" i="17"/>
  <c r="Z109" i="17"/>
  <c r="AS63" i="17"/>
  <c r="Z63" i="17"/>
  <c r="AS134" i="17"/>
  <c r="Z134" i="17"/>
  <c r="AS13" i="17"/>
  <c r="Z13" i="17"/>
  <c r="K18" i="25"/>
  <c r="L24" i="17"/>
  <c r="M130" i="24"/>
  <c r="AS69" i="17"/>
  <c r="Z69" i="17"/>
  <c r="Z151" i="17"/>
  <c r="AS151" i="17"/>
  <c r="Z117" i="17"/>
  <c r="AS117" i="17"/>
  <c r="AS12" i="17"/>
  <c r="Z12" i="17"/>
  <c r="AS125" i="17"/>
  <c r="Z125" i="17"/>
  <c r="L25" i="17"/>
  <c r="K13" i="25"/>
  <c r="AS42" i="17"/>
  <c r="Z42" i="17"/>
  <c r="K20" i="25"/>
  <c r="Z153" i="17"/>
  <c r="AS153" i="17"/>
  <c r="Z100" i="17"/>
  <c r="AS100" i="17"/>
  <c r="AS108" i="17"/>
  <c r="Z108" i="17"/>
  <c r="Z148" i="17"/>
  <c r="AS148" i="17"/>
  <c r="Z28" i="17"/>
  <c r="AS28" i="17"/>
  <c r="AS75" i="17"/>
  <c r="Z75" i="17"/>
  <c r="Z86" i="17"/>
  <c r="AS86" i="17"/>
  <c r="AS66" i="17"/>
  <c r="Z66" i="17"/>
  <c r="L31" i="17"/>
  <c r="K10" i="25"/>
  <c r="AS77" i="17"/>
  <c r="Z77" i="17"/>
  <c r="Z96" i="17"/>
  <c r="AS96" i="17"/>
  <c r="L71" i="17"/>
  <c r="K19" i="25"/>
  <c r="AS56" i="17"/>
  <c r="Z56" i="17"/>
  <c r="Z94" i="17"/>
  <c r="AS94" i="17"/>
  <c r="AS34" i="17"/>
  <c r="Z34" i="17"/>
  <c r="Z35" i="17"/>
  <c r="AS35" i="17"/>
  <c r="Z97" i="17"/>
  <c r="AS97" i="17"/>
  <c r="AS111" i="17"/>
  <c r="Z111" i="17"/>
  <c r="AS46" i="17"/>
  <c r="Z46" i="17"/>
  <c r="AS39" i="17"/>
  <c r="Z39" i="17"/>
  <c r="Z62" i="17"/>
  <c r="AS62" i="17"/>
  <c r="AS90" i="17"/>
  <c r="Z90" i="17"/>
  <c r="AS32" i="17"/>
  <c r="Z32" i="17"/>
  <c r="Z10" i="17"/>
  <c r="AS10" i="17"/>
  <c r="AS81" i="17"/>
  <c r="Z81" i="17"/>
  <c r="Z67" i="17"/>
  <c r="AS67" i="17"/>
  <c r="K14" i="25"/>
  <c r="Z91" i="17"/>
  <c r="AS91" i="17"/>
  <c r="AS85" i="17"/>
  <c r="Z85" i="17"/>
  <c r="Z144" i="17"/>
  <c r="AS144" i="17"/>
  <c r="Z64" i="17"/>
  <c r="AS64" i="17"/>
  <c r="Z88" i="17"/>
  <c r="AS88" i="17"/>
  <c r="Z27" i="17"/>
  <c r="AS27" i="17"/>
  <c r="AS113" i="17"/>
  <c r="Z113" i="17"/>
  <c r="AS40" i="17"/>
  <c r="Z40" i="17"/>
  <c r="AS21" i="17"/>
  <c r="Z21" i="17"/>
  <c r="Z15" i="17"/>
  <c r="AS15" i="17"/>
  <c r="AS60" i="17"/>
  <c r="Z60" i="17"/>
  <c r="L22" i="17"/>
  <c r="K16" i="25"/>
  <c r="Z20" i="17"/>
  <c r="AS20" i="17"/>
  <c r="AS65" i="17"/>
  <c r="L20" i="25"/>
  <c r="Z65" i="17"/>
  <c r="AS137" i="17"/>
  <c r="Z137" i="17"/>
  <c r="AS50" i="17"/>
  <c r="Z50" i="17"/>
  <c r="Z23" i="17"/>
  <c r="AS23" i="17"/>
  <c r="AS48" i="17"/>
  <c r="Z48" i="17"/>
  <c r="AS120" i="17"/>
  <c r="Z120" i="17"/>
  <c r="AS146" i="17"/>
  <c r="Z146" i="17"/>
  <c r="M30" i="24" l="1"/>
  <c r="M119" i="24"/>
  <c r="M104" i="24"/>
  <c r="Y151" i="24"/>
  <c r="Z151" i="24" s="1"/>
  <c r="AA151" i="24" s="1"/>
  <c r="Y105" i="24"/>
  <c r="Z105" i="24" s="1"/>
  <c r="AA105" i="24" s="1"/>
  <c r="Y11" i="24"/>
  <c r="Z11" i="24" s="1"/>
  <c r="AA11" i="24" s="1"/>
  <c r="Y106" i="24"/>
  <c r="Z106" i="24" s="1"/>
  <c r="AA106" i="24" s="1"/>
  <c r="Y154" i="24"/>
  <c r="Z154" i="24" s="1"/>
  <c r="AA154" i="24" s="1"/>
  <c r="Y112" i="24"/>
  <c r="Z112" i="24" s="1"/>
  <c r="AA112" i="24" s="1"/>
  <c r="Y142" i="24"/>
  <c r="Z142" i="24" s="1"/>
  <c r="AA142" i="24" s="1"/>
  <c r="Y70" i="24"/>
  <c r="Z70" i="24" s="1"/>
  <c r="AA70" i="24" s="1"/>
  <c r="Y43" i="24"/>
  <c r="Z43" i="24" s="1"/>
  <c r="AA43" i="24" s="1"/>
  <c r="Y68" i="24"/>
  <c r="Z68" i="24" s="1"/>
  <c r="AA68" i="24" s="1"/>
  <c r="Y49" i="24"/>
  <c r="Z49" i="24" s="1"/>
  <c r="AA49" i="24" s="1"/>
  <c r="Y51" i="24"/>
  <c r="Z51" i="24" s="1"/>
  <c r="AA51" i="24" s="1"/>
  <c r="Y152" i="24"/>
  <c r="Z152" i="24" s="1"/>
  <c r="AA152" i="24" s="1"/>
  <c r="E124" i="24"/>
  <c r="Y124" i="24"/>
  <c r="Z124" i="24" s="1"/>
  <c r="AA124" i="24" s="1"/>
  <c r="Y40" i="24"/>
  <c r="Z40" i="24" s="1"/>
  <c r="AA40" i="24" s="1"/>
  <c r="Y67" i="24"/>
  <c r="Z67" i="24" s="1"/>
  <c r="AA67" i="24" s="1"/>
  <c r="Y94" i="24"/>
  <c r="Z94" i="24" s="1"/>
  <c r="AA94" i="24" s="1"/>
  <c r="Y100" i="24"/>
  <c r="Z100" i="24" s="1"/>
  <c r="AA100" i="24" s="1"/>
  <c r="Y13" i="24"/>
  <c r="Z13" i="24" s="1"/>
  <c r="AA13" i="24" s="1"/>
  <c r="Y74" i="24"/>
  <c r="Z74" i="24" s="1"/>
  <c r="AA74" i="24" s="1"/>
  <c r="Y89" i="24"/>
  <c r="Z89" i="24" s="1"/>
  <c r="AA89" i="24" s="1"/>
  <c r="Y128" i="24"/>
  <c r="Z128" i="24" s="1"/>
  <c r="AA128" i="24" s="1"/>
  <c r="Y84" i="24"/>
  <c r="Z84" i="24" s="1"/>
  <c r="AA84" i="24" s="1"/>
  <c r="Y14" i="24"/>
  <c r="Z14" i="24" s="1"/>
  <c r="AA14" i="24" s="1"/>
  <c r="Y118" i="24"/>
  <c r="Z118" i="24" s="1"/>
  <c r="AA118" i="24" s="1"/>
  <c r="Y136" i="24"/>
  <c r="Z136" i="24" s="1"/>
  <c r="AA136" i="24" s="1"/>
  <c r="Y149" i="24"/>
  <c r="Z149" i="24" s="1"/>
  <c r="AA149" i="24" s="1"/>
  <c r="Y146" i="24"/>
  <c r="Z146" i="24" s="1"/>
  <c r="AA146" i="24" s="1"/>
  <c r="Y50" i="24"/>
  <c r="Z50" i="24" s="1"/>
  <c r="AA50" i="24" s="1"/>
  <c r="Y32" i="24"/>
  <c r="Z32" i="24" s="1"/>
  <c r="AA32" i="24" s="1"/>
  <c r="Y34" i="24"/>
  <c r="Z34" i="24" s="1"/>
  <c r="AA34" i="24" s="1"/>
  <c r="Y108" i="24"/>
  <c r="Z108" i="24" s="1"/>
  <c r="AA108" i="24" s="1"/>
  <c r="Y120" i="24"/>
  <c r="Z120" i="24" s="1"/>
  <c r="AA120" i="24" s="1"/>
  <c r="Y137" i="24"/>
  <c r="Z137" i="24" s="1"/>
  <c r="AA137" i="24" s="1"/>
  <c r="Y144" i="24"/>
  <c r="Z144" i="24" s="1"/>
  <c r="AA144" i="24" s="1"/>
  <c r="Y90" i="24"/>
  <c r="Z90" i="24" s="1"/>
  <c r="AA90" i="24" s="1"/>
  <c r="Y111" i="24"/>
  <c r="Z111" i="24" s="1"/>
  <c r="AA111" i="24" s="1"/>
  <c r="Y77" i="24"/>
  <c r="Z77" i="24" s="1"/>
  <c r="AA77" i="24" s="1"/>
  <c r="Y75" i="24"/>
  <c r="Z75" i="24" s="1"/>
  <c r="AA75" i="24" s="1"/>
  <c r="Y54" i="24"/>
  <c r="Z54" i="24" s="1"/>
  <c r="AA54" i="24" s="1"/>
  <c r="Y80" i="24"/>
  <c r="Z80" i="24" s="1"/>
  <c r="AA80" i="24" s="1"/>
  <c r="Y33" i="24"/>
  <c r="Z33" i="24" s="1"/>
  <c r="AA33" i="24" s="1"/>
  <c r="E30" i="24"/>
  <c r="Y116" i="24"/>
  <c r="Z116" i="24" s="1"/>
  <c r="AA116" i="24" s="1"/>
  <c r="Y76" i="24"/>
  <c r="Z76" i="24" s="1"/>
  <c r="AA76" i="24" s="1"/>
  <c r="Y61" i="24"/>
  <c r="Z61" i="24" s="1"/>
  <c r="AA61" i="24" s="1"/>
  <c r="Y104" i="24"/>
  <c r="Z104" i="24" s="1"/>
  <c r="AA104" i="24" s="1"/>
  <c r="Y28" i="24"/>
  <c r="Z28" i="24" s="1"/>
  <c r="AA28" i="24" s="1"/>
  <c r="Y153" i="24"/>
  <c r="Z153" i="24" s="1"/>
  <c r="AA153" i="24" s="1"/>
  <c r="Y125" i="24"/>
  <c r="Z125" i="24" s="1"/>
  <c r="AA125" i="24" s="1"/>
  <c r="Y69" i="24"/>
  <c r="Z69" i="24" s="1"/>
  <c r="AA69" i="24" s="1"/>
  <c r="Y134" i="24"/>
  <c r="Z134" i="24" s="1"/>
  <c r="AA134" i="24" s="1"/>
  <c r="Y141" i="24"/>
  <c r="Z141" i="24" s="1"/>
  <c r="AA141" i="24" s="1"/>
  <c r="Y72" i="24"/>
  <c r="Z72" i="24" s="1"/>
  <c r="AA72" i="24" s="1"/>
  <c r="Y87" i="24"/>
  <c r="Z87" i="24" s="1"/>
  <c r="AA87" i="24" s="1"/>
  <c r="Y103" i="24"/>
  <c r="Z103" i="24" s="1"/>
  <c r="AA103" i="24" s="1"/>
  <c r="Y139" i="24"/>
  <c r="Z139" i="24" s="1"/>
  <c r="AA139" i="24" s="1"/>
  <c r="Y133" i="24"/>
  <c r="Z133" i="24" s="1"/>
  <c r="AA133" i="24" s="1"/>
  <c r="Y99" i="24"/>
  <c r="Z99" i="24" s="1"/>
  <c r="AA99" i="24" s="1"/>
  <c r="Y119" i="24"/>
  <c r="Z119" i="24" s="1"/>
  <c r="AA119" i="24" s="1"/>
  <c r="Y46" i="24"/>
  <c r="Z46" i="24" s="1"/>
  <c r="AA46" i="24" s="1"/>
  <c r="Y123" i="24"/>
  <c r="Z123" i="24" s="1"/>
  <c r="AA123" i="24" s="1"/>
  <c r="Y92" i="24"/>
  <c r="Z92" i="24" s="1"/>
  <c r="AA92" i="24" s="1"/>
  <c r="Y110" i="24"/>
  <c r="Z110" i="24" s="1"/>
  <c r="AA110" i="24" s="1"/>
  <c r="Y52" i="24"/>
  <c r="Z52" i="24" s="1"/>
  <c r="AA52" i="24" s="1"/>
  <c r="Y147" i="24"/>
  <c r="Z147" i="24" s="1"/>
  <c r="AA147" i="24" s="1"/>
  <c r="Y145" i="24"/>
  <c r="Z145" i="24" s="1"/>
  <c r="AA145" i="24" s="1"/>
  <c r="Y121" i="24"/>
  <c r="Z121" i="24" s="1"/>
  <c r="AA121" i="24" s="1"/>
  <c r="Y15" i="24"/>
  <c r="Z15" i="24" s="1"/>
  <c r="AA15" i="24" s="1"/>
  <c r="Y27" i="24"/>
  <c r="Z27" i="24" s="1"/>
  <c r="AA27" i="24" s="1"/>
  <c r="Y81" i="24"/>
  <c r="Z81" i="24" s="1"/>
  <c r="AA81" i="24" s="1"/>
  <c r="Y56" i="24"/>
  <c r="Z56" i="24" s="1"/>
  <c r="AA56" i="24" s="1"/>
  <c r="Y9" i="24"/>
  <c r="Z9" i="24" s="1"/>
  <c r="AA9" i="24" s="1"/>
  <c r="Y65" i="24"/>
  <c r="Z65" i="24" s="1"/>
  <c r="AA65" i="24" s="1"/>
  <c r="Y12" i="24"/>
  <c r="Z12" i="24" s="1"/>
  <c r="AA12" i="24" s="1"/>
  <c r="Y63" i="24"/>
  <c r="Z63" i="24" s="1"/>
  <c r="AA63" i="24" s="1"/>
  <c r="Y78" i="24"/>
  <c r="Z78" i="24" s="1"/>
  <c r="AA78" i="24" s="1"/>
  <c r="Y73" i="24"/>
  <c r="Z73" i="24" s="1"/>
  <c r="AA73" i="24" s="1"/>
  <c r="Y150" i="24"/>
  <c r="Z150" i="24" s="1"/>
  <c r="AA150" i="24" s="1"/>
  <c r="Y138" i="24"/>
  <c r="Z138" i="24" s="1"/>
  <c r="AA138" i="24" s="1"/>
  <c r="Y59" i="24"/>
  <c r="Z59" i="24" s="1"/>
  <c r="AA59" i="24" s="1"/>
  <c r="Y55" i="24"/>
  <c r="Z55" i="24" s="1"/>
  <c r="AA55" i="24" s="1"/>
  <c r="Y93" i="24"/>
  <c r="Z93" i="24" s="1"/>
  <c r="AA93" i="24" s="1"/>
  <c r="Y83" i="24"/>
  <c r="Z83" i="24" s="1"/>
  <c r="AA83" i="24" s="1"/>
  <c r="Y130" i="24"/>
  <c r="Z130" i="24" s="1"/>
  <c r="AA130" i="24" s="1"/>
  <c r="Y57" i="24"/>
  <c r="Z57" i="24" s="1"/>
  <c r="AA57" i="24" s="1"/>
  <c r="E95" i="24"/>
  <c r="Y64" i="24"/>
  <c r="Z64" i="24" s="1"/>
  <c r="AA64" i="24" s="1"/>
  <c r="Y60" i="24"/>
  <c r="Z60" i="24" s="1"/>
  <c r="AA60" i="24" s="1"/>
  <c r="Y113" i="24"/>
  <c r="Z113" i="24" s="1"/>
  <c r="AA113" i="24" s="1"/>
  <c r="Y62" i="24"/>
  <c r="Z62" i="24" s="1"/>
  <c r="AA62" i="24" s="1"/>
  <c r="Y97" i="24"/>
  <c r="Z97" i="24" s="1"/>
  <c r="AA97" i="24" s="1"/>
  <c r="Y48" i="24"/>
  <c r="Z48" i="24" s="1"/>
  <c r="AA48" i="24" s="1"/>
  <c r="Y148" i="24"/>
  <c r="Z148" i="24" s="1"/>
  <c r="AA148" i="24" s="1"/>
  <c r="Y20" i="24"/>
  <c r="Z20" i="24" s="1"/>
  <c r="AA20" i="24" s="1"/>
  <c r="Y88" i="24"/>
  <c r="Z88" i="24" s="1"/>
  <c r="AA88" i="24" s="1"/>
  <c r="Y91" i="24"/>
  <c r="Z91" i="24" s="1"/>
  <c r="AA91" i="24" s="1"/>
  <c r="Y39" i="24"/>
  <c r="Z39" i="24" s="1"/>
  <c r="AA39" i="24" s="1"/>
  <c r="Y66" i="24"/>
  <c r="Z66" i="24" s="1"/>
  <c r="AA66" i="24" s="1"/>
  <c r="Y117" i="24"/>
  <c r="Z117" i="24" s="1"/>
  <c r="AA117" i="24" s="1"/>
  <c r="Y82" i="24"/>
  <c r="Z82" i="24" s="1"/>
  <c r="AA82" i="24" s="1"/>
  <c r="Y29" i="24"/>
  <c r="Z29" i="24" s="1"/>
  <c r="AA29" i="24" s="1"/>
  <c r="Y36" i="24"/>
  <c r="Z36" i="24" s="1"/>
  <c r="AA36" i="24" s="1"/>
  <c r="Y126" i="24"/>
  <c r="Z126" i="24" s="1"/>
  <c r="AA126" i="24" s="1"/>
  <c r="Y132" i="24"/>
  <c r="Z132" i="24" s="1"/>
  <c r="AA132" i="24" s="1"/>
  <c r="Y115" i="24"/>
  <c r="Z115" i="24" s="1"/>
  <c r="AA115" i="24" s="1"/>
  <c r="Y102" i="24"/>
  <c r="Z102" i="24" s="1"/>
  <c r="AA102" i="24" s="1"/>
  <c r="Y16" i="24"/>
  <c r="Z16" i="24" s="1"/>
  <c r="AA16" i="24" s="1"/>
  <c r="Y101" i="24"/>
  <c r="Z101" i="24" s="1"/>
  <c r="AA101" i="24" s="1"/>
  <c r="Y47" i="24"/>
  <c r="Z47" i="24" s="1"/>
  <c r="AA47" i="24" s="1"/>
  <c r="Y58" i="24"/>
  <c r="Z58" i="24" s="1"/>
  <c r="AA58" i="24" s="1"/>
  <c r="Y140" i="24"/>
  <c r="Z140" i="24" s="1"/>
  <c r="AA140" i="24" s="1"/>
  <c r="Y135" i="24"/>
  <c r="Z135" i="24" s="1"/>
  <c r="AA135" i="24" s="1"/>
  <c r="Y114" i="24"/>
  <c r="Z114" i="24" s="1"/>
  <c r="AA114" i="24" s="1"/>
  <c r="Y143" i="24"/>
  <c r="Z143" i="24" s="1"/>
  <c r="AA143" i="24" s="1"/>
  <c r="Y30" i="24"/>
  <c r="Z30" i="24" s="1"/>
  <c r="AA30" i="24" s="1"/>
  <c r="Y23" i="24"/>
  <c r="Z23" i="24" s="1"/>
  <c r="AA23" i="24" s="1"/>
  <c r="Y85" i="24"/>
  <c r="Z85" i="24" s="1"/>
  <c r="AA85" i="24" s="1"/>
  <c r="Y10" i="24"/>
  <c r="Z10" i="24" s="1"/>
  <c r="AA10" i="24" s="1"/>
  <c r="Y35" i="24"/>
  <c r="Z35" i="24" s="1"/>
  <c r="AA35" i="24" s="1"/>
  <c r="Y131" i="24"/>
  <c r="Z131" i="24" s="1"/>
  <c r="AA131" i="24" s="1"/>
  <c r="Y129" i="24"/>
  <c r="Z129" i="24" s="1"/>
  <c r="AA129" i="24" s="1"/>
  <c r="Y21" i="24"/>
  <c r="Z21" i="24" s="1"/>
  <c r="AA21" i="24" s="1"/>
  <c r="Y96" i="24"/>
  <c r="Z96" i="24" s="1"/>
  <c r="AA96" i="24" s="1"/>
  <c r="Y86" i="24"/>
  <c r="Z86" i="24" s="1"/>
  <c r="AA86" i="24" s="1"/>
  <c r="Y42" i="24"/>
  <c r="Z42" i="24" s="1"/>
  <c r="AA42" i="24" s="1"/>
  <c r="Y109" i="24"/>
  <c r="Z109" i="24" s="1"/>
  <c r="AA109" i="24" s="1"/>
  <c r="Y26" i="24"/>
  <c r="Z26" i="24" s="1"/>
  <c r="AA26" i="24" s="1"/>
  <c r="Y38" i="24"/>
  <c r="Z38" i="24" s="1"/>
  <c r="AA38" i="24" s="1"/>
  <c r="Y127" i="24"/>
  <c r="Z127" i="24" s="1"/>
  <c r="AA127" i="24" s="1"/>
  <c r="Y98" i="24"/>
  <c r="Z98" i="24" s="1"/>
  <c r="AA98" i="24" s="1"/>
  <c r="Y107" i="24"/>
  <c r="Z107" i="24" s="1"/>
  <c r="AA107" i="24" s="1"/>
  <c r="Y122" i="24"/>
  <c r="Z122" i="24" s="1"/>
  <c r="AA122" i="24" s="1"/>
  <c r="Y95" i="24"/>
  <c r="Z95" i="24" s="1"/>
  <c r="AA95" i="24" s="1"/>
  <c r="Y7" i="24"/>
  <c r="Z7" i="24" s="1"/>
  <c r="AA7" i="24" s="1"/>
  <c r="M149" i="24"/>
  <c r="N149" i="24" s="1"/>
  <c r="M95" i="24"/>
  <c r="N95" i="24" s="1"/>
  <c r="M145" i="24"/>
  <c r="N145" i="24" s="1"/>
  <c r="I149" i="24"/>
  <c r="J149" i="24"/>
  <c r="K149" i="24"/>
  <c r="H149" i="24"/>
  <c r="G149" i="24"/>
  <c r="F145" i="24"/>
  <c r="I121" i="24"/>
  <c r="K121" i="24"/>
  <c r="J121" i="24"/>
  <c r="H121" i="24"/>
  <c r="G121" i="24"/>
  <c r="F121" i="24"/>
  <c r="J130" i="24"/>
  <c r="I130" i="24"/>
  <c r="K130" i="24"/>
  <c r="H130" i="24"/>
  <c r="G130" i="24"/>
  <c r="F130" i="24"/>
  <c r="F30" i="24"/>
  <c r="E149" i="24"/>
  <c r="J95" i="24"/>
  <c r="I95" i="24"/>
  <c r="K95" i="24"/>
  <c r="H95" i="24"/>
  <c r="G95" i="24"/>
  <c r="I119" i="24"/>
  <c r="K119" i="24"/>
  <c r="J119" i="24"/>
  <c r="H119" i="24"/>
  <c r="G119" i="24"/>
  <c r="F95" i="24"/>
  <c r="I30" i="24"/>
  <c r="J30" i="24"/>
  <c r="K30" i="24"/>
  <c r="H30" i="24"/>
  <c r="G30" i="24"/>
  <c r="K124" i="24"/>
  <c r="J124" i="24"/>
  <c r="I124" i="24"/>
  <c r="H124" i="24"/>
  <c r="G124" i="24"/>
  <c r="F124" i="24"/>
  <c r="E119" i="24"/>
  <c r="J145" i="24"/>
  <c r="K145" i="24"/>
  <c r="I145" i="24"/>
  <c r="H145" i="24"/>
  <c r="G145" i="24"/>
  <c r="F149" i="24"/>
  <c r="E145" i="24"/>
  <c r="F104" i="24"/>
  <c r="J104" i="24"/>
  <c r="K104" i="24"/>
  <c r="I104" i="24"/>
  <c r="H104" i="24"/>
  <c r="G104" i="24"/>
  <c r="F119" i="24"/>
  <c r="E104" i="24"/>
  <c r="E121" i="24"/>
  <c r="E130" i="24"/>
  <c r="N119" i="24"/>
  <c r="N30" i="24"/>
  <c r="N130" i="24"/>
  <c r="N57" i="24"/>
  <c r="N104" i="24"/>
  <c r="N7" i="24"/>
  <c r="AV7" i="17"/>
  <c r="AX7" i="17" s="1"/>
  <c r="M124" i="24"/>
  <c r="M121" i="24"/>
  <c r="AV57" i="17"/>
  <c r="AV137" i="17"/>
  <c r="M137" i="24"/>
  <c r="AV20" i="17"/>
  <c r="M20" i="24"/>
  <c r="AX95" i="17"/>
  <c r="Q95" i="24"/>
  <c r="R95" i="24" s="1"/>
  <c r="S95" i="24" s="1"/>
  <c r="AV134" i="17"/>
  <c r="M134" i="24"/>
  <c r="L8" i="25"/>
  <c r="AS18" i="17"/>
  <c r="Z18" i="17"/>
  <c r="AV116" i="17"/>
  <c r="M116" i="24"/>
  <c r="AV125" i="17"/>
  <c r="M125" i="24"/>
  <c r="M117" i="24"/>
  <c r="AV117" i="17"/>
  <c r="AV9" i="17"/>
  <c r="M9" i="24"/>
  <c r="AV133" i="17"/>
  <c r="M133" i="24"/>
  <c r="AV114" i="17"/>
  <c r="M114" i="24"/>
  <c r="M83" i="24"/>
  <c r="AV83" i="17"/>
  <c r="AV21" i="17"/>
  <c r="M21" i="24"/>
  <c r="AV86" i="17"/>
  <c r="M86" i="24"/>
  <c r="AV108" i="17"/>
  <c r="M108" i="24"/>
  <c r="AV153" i="17"/>
  <c r="M153" i="24"/>
  <c r="Q130" i="24"/>
  <c r="R130" i="24" s="1"/>
  <c r="S130" i="24" s="1"/>
  <c r="AX130" i="17"/>
  <c r="M78" i="24"/>
  <c r="AV78" i="17"/>
  <c r="AV106" i="17"/>
  <c r="M106" i="24"/>
  <c r="AS19" i="17"/>
  <c r="L21" i="25"/>
  <c r="Z19" i="17"/>
  <c r="M103" i="24"/>
  <c r="AV103" i="17"/>
  <c r="AV115" i="17"/>
  <c r="M115" i="24"/>
  <c r="AV92" i="17"/>
  <c r="M92" i="24"/>
  <c r="AS14" i="25"/>
  <c r="AV43" i="17"/>
  <c r="M43" i="24"/>
  <c r="AV128" i="17"/>
  <c r="M128" i="24"/>
  <c r="AV84" i="17"/>
  <c r="M84" i="24"/>
  <c r="M55" i="24"/>
  <c r="AV55" i="17"/>
  <c r="M49" i="24"/>
  <c r="AV49" i="17"/>
  <c r="L23" i="25"/>
  <c r="AS79" i="17"/>
  <c r="Z79" i="17"/>
  <c r="AV118" i="17"/>
  <c r="M118" i="24"/>
  <c r="M61" i="24"/>
  <c r="AV61" i="17"/>
  <c r="AV77" i="17"/>
  <c r="M77" i="24"/>
  <c r="AV154" i="17"/>
  <c r="M154" i="24"/>
  <c r="M36" i="24"/>
  <c r="AV36" i="17"/>
  <c r="L9" i="25"/>
  <c r="AS45" i="17"/>
  <c r="Z45" i="17"/>
  <c r="M45" i="24" s="1"/>
  <c r="N45" i="24" s="1"/>
  <c r="O45" i="24" s="1"/>
  <c r="AV87" i="17"/>
  <c r="M87" i="24"/>
  <c r="L16" i="25"/>
  <c r="AS22" i="17"/>
  <c r="Z22" i="17"/>
  <c r="M91" i="24"/>
  <c r="AV91" i="17"/>
  <c r="AS24" i="17"/>
  <c r="L18" i="25"/>
  <c r="Z24" i="17"/>
  <c r="AV63" i="17"/>
  <c r="M63" i="24"/>
  <c r="AV105" i="17"/>
  <c r="M105" i="24"/>
  <c r="L11" i="25"/>
  <c r="AS53" i="17"/>
  <c r="Z53" i="17"/>
  <c r="AV73" i="17"/>
  <c r="M73" i="24"/>
  <c r="AV112" i="17"/>
  <c r="M112" i="24"/>
  <c r="AV126" i="17"/>
  <c r="M126" i="24"/>
  <c r="AS37" i="17"/>
  <c r="L17" i="25"/>
  <c r="Z37" i="17"/>
  <c r="M54" i="24"/>
  <c r="AV54" i="17"/>
  <c r="M150" i="24"/>
  <c r="AV150" i="17"/>
  <c r="AV80" i="17"/>
  <c r="M80" i="24"/>
  <c r="AV140" i="17"/>
  <c r="M140" i="24"/>
  <c r="Q104" i="24"/>
  <c r="R104" i="24" s="1"/>
  <c r="S104" i="24" s="1"/>
  <c r="AX104" i="17"/>
  <c r="AV138" i="17"/>
  <c r="M138" i="24"/>
  <c r="AV68" i="17"/>
  <c r="M68" i="24"/>
  <c r="M58" i="24"/>
  <c r="AV58" i="17"/>
  <c r="AV75" i="17"/>
  <c r="M75" i="24"/>
  <c r="M148" i="24"/>
  <c r="AV148" i="17"/>
  <c r="AV38" i="17"/>
  <c r="M38" i="24"/>
  <c r="AV101" i="17"/>
  <c r="M101" i="24"/>
  <c r="Z14" i="25"/>
  <c r="AV52" i="17"/>
  <c r="M52" i="24"/>
  <c r="AS44" i="17"/>
  <c r="L7" i="25"/>
  <c r="Z44" i="17"/>
  <c r="Z20" i="25"/>
  <c r="AV65" i="17"/>
  <c r="M65" i="24"/>
  <c r="M64" i="24"/>
  <c r="AV64" i="17"/>
  <c r="AV94" i="17"/>
  <c r="M94" i="24"/>
  <c r="L19" i="25"/>
  <c r="AS71" i="17"/>
  <c r="Z71" i="17"/>
  <c r="L10" i="25"/>
  <c r="AS31" i="17"/>
  <c r="Z31" i="17"/>
  <c r="AV12" i="17"/>
  <c r="M12" i="24"/>
  <c r="M151" i="24"/>
  <c r="AV151" i="17"/>
  <c r="AV141" i="17"/>
  <c r="M141" i="24"/>
  <c r="M82" i="24"/>
  <c r="AV82" i="17"/>
  <c r="AV72" i="17"/>
  <c r="M72" i="24"/>
  <c r="M33" i="24"/>
  <c r="AV33" i="17"/>
  <c r="AV14" i="17"/>
  <c r="M14" i="24"/>
  <c r="AV93" i="17"/>
  <c r="M93" i="24"/>
  <c r="AV143" i="17"/>
  <c r="M143" i="24"/>
  <c r="Q121" i="24"/>
  <c r="R121" i="24" s="1"/>
  <c r="S121" i="24" s="1"/>
  <c r="AX121" i="17"/>
  <c r="AV88" i="17"/>
  <c r="M88" i="24"/>
  <c r="AV39" i="17"/>
  <c r="M39" i="24"/>
  <c r="AV89" i="17"/>
  <c r="M89" i="24"/>
  <c r="M15" i="24"/>
  <c r="AV15" i="17"/>
  <c r="AV113" i="17"/>
  <c r="M113" i="24"/>
  <c r="AV102" i="17"/>
  <c r="M102" i="24"/>
  <c r="AV50" i="17"/>
  <c r="M50" i="24"/>
  <c r="AV66" i="17"/>
  <c r="M66" i="24"/>
  <c r="Q149" i="24"/>
  <c r="R149" i="24" s="1"/>
  <c r="S149" i="24" s="1"/>
  <c r="AX149" i="17"/>
  <c r="AV42" i="17"/>
  <c r="M42" i="24"/>
  <c r="AV13" i="17"/>
  <c r="M13" i="24"/>
  <c r="AV131" i="17"/>
  <c r="M131" i="24"/>
  <c r="M129" i="24"/>
  <c r="AV129" i="17"/>
  <c r="L155" i="17"/>
  <c r="AS6" i="17"/>
  <c r="L22" i="25"/>
  <c r="Z6" i="17"/>
  <c r="AV26" i="17"/>
  <c r="M26" i="24"/>
  <c r="M16" i="24"/>
  <c r="AV16" i="17"/>
  <c r="Q124" i="24"/>
  <c r="R124" i="24" s="1"/>
  <c r="S124" i="24" s="1"/>
  <c r="AX124" i="17"/>
  <c r="AV127" i="17"/>
  <c r="M127" i="24"/>
  <c r="AV98" i="17"/>
  <c r="M98" i="24"/>
  <c r="Q30" i="24"/>
  <c r="R30" i="24" s="1"/>
  <c r="S30" i="24" s="1"/>
  <c r="AX30" i="17"/>
  <c r="AV47" i="17"/>
  <c r="M47" i="24"/>
  <c r="AV59" i="17"/>
  <c r="M59" i="24"/>
  <c r="K24" i="25"/>
  <c r="AV107" i="17"/>
  <c r="M107" i="24"/>
  <c r="Q145" i="24"/>
  <c r="R145" i="24" s="1"/>
  <c r="S145" i="24" s="1"/>
  <c r="AX145" i="17"/>
  <c r="M135" i="24"/>
  <c r="AV135" i="17"/>
  <c r="AV136" i="17"/>
  <c r="M136" i="24"/>
  <c r="AV152" i="17"/>
  <c r="M152" i="24"/>
  <c r="M142" i="24"/>
  <c r="AV142" i="17"/>
  <c r="AV40" i="17"/>
  <c r="M40" i="24"/>
  <c r="AV27" i="17"/>
  <c r="M27" i="24"/>
  <c r="AS20" i="25"/>
  <c r="AV144" i="17"/>
  <c r="M144" i="24"/>
  <c r="AV10" i="17"/>
  <c r="M10" i="24"/>
  <c r="M62" i="24"/>
  <c r="AV62" i="17"/>
  <c r="AV111" i="17"/>
  <c r="M111" i="24"/>
  <c r="M35" i="24"/>
  <c r="AV35" i="17"/>
  <c r="M28" i="24"/>
  <c r="AV28" i="17"/>
  <c r="AV69" i="17"/>
  <c r="M69" i="24"/>
  <c r="AV109" i="17"/>
  <c r="M109" i="24"/>
  <c r="AX119" i="17"/>
  <c r="Q119" i="24"/>
  <c r="R119" i="24" s="1"/>
  <c r="S119" i="24" s="1"/>
  <c r="AV132" i="17"/>
  <c r="M132" i="24"/>
  <c r="AV123" i="17"/>
  <c r="M123" i="24"/>
  <c r="AV110" i="17"/>
  <c r="M110" i="24"/>
  <c r="L15" i="25"/>
  <c r="AS8" i="17"/>
  <c r="Z8" i="17"/>
  <c r="L6" i="25"/>
  <c r="AS17" i="17"/>
  <c r="Z17" i="17"/>
  <c r="AV147" i="17"/>
  <c r="M147" i="24"/>
  <c r="AS25" i="17"/>
  <c r="L13" i="25"/>
  <c r="Z25" i="17"/>
  <c r="AV74" i="17"/>
  <c r="M74" i="24"/>
  <c r="M146" i="24"/>
  <c r="AV146" i="17"/>
  <c r="AV81" i="17"/>
  <c r="M81" i="24"/>
  <c r="M56" i="24"/>
  <c r="AV56" i="17"/>
  <c r="AV90" i="17"/>
  <c r="M90" i="24"/>
  <c r="AV46" i="17"/>
  <c r="M46" i="24"/>
  <c r="AV97" i="17"/>
  <c r="M97" i="24"/>
  <c r="AV120" i="17"/>
  <c r="M120" i="24"/>
  <c r="AV23" i="17"/>
  <c r="M23" i="24"/>
  <c r="AV60" i="17"/>
  <c r="M60" i="24"/>
  <c r="AV48" i="17"/>
  <c r="M48" i="24"/>
  <c r="AV85" i="17"/>
  <c r="M85" i="24"/>
  <c r="AV67" i="17"/>
  <c r="M67" i="24"/>
  <c r="AV32" i="17"/>
  <c r="M32" i="24"/>
  <c r="AV34" i="17"/>
  <c r="M34" i="24"/>
  <c r="AV96" i="17"/>
  <c r="M96" i="24"/>
  <c r="AV100" i="17"/>
  <c r="M100" i="24"/>
  <c r="AV11" i="17"/>
  <c r="M11" i="24"/>
  <c r="M29" i="24"/>
  <c r="AV29" i="17"/>
  <c r="AV70" i="17"/>
  <c r="M70" i="24"/>
  <c r="AV139" i="17"/>
  <c r="M139" i="24"/>
  <c r="L12" i="25"/>
  <c r="AS41" i="17"/>
  <c r="Z41" i="17"/>
  <c r="AV99" i="17"/>
  <c r="M99" i="24"/>
  <c r="M51" i="24"/>
  <c r="AV51" i="17"/>
  <c r="AV76" i="17"/>
  <c r="M76" i="24"/>
  <c r="AV122" i="17"/>
  <c r="M122" i="24"/>
  <c r="AS9" i="25" l="1"/>
  <c r="Y45" i="24"/>
  <c r="Z45" i="24" s="1"/>
  <c r="AA45" i="24" s="1"/>
  <c r="Q57" i="24"/>
  <c r="R57" i="24" s="1"/>
  <c r="S57" i="24" s="1"/>
  <c r="AX57" i="17"/>
  <c r="F85" i="24"/>
  <c r="F120" i="24"/>
  <c r="F131" i="24"/>
  <c r="Y25" i="24"/>
  <c r="Z25" i="24" s="1"/>
  <c r="AA25" i="24" s="1"/>
  <c r="F66" i="24"/>
  <c r="F33" i="24"/>
  <c r="F151" i="24"/>
  <c r="Y71" i="24"/>
  <c r="Z71" i="24" s="1"/>
  <c r="AA71" i="24" s="1"/>
  <c r="F101" i="24"/>
  <c r="F10" i="24"/>
  <c r="F142" i="24"/>
  <c r="Y6" i="24"/>
  <c r="F13" i="24"/>
  <c r="F134" i="24"/>
  <c r="Y37" i="24"/>
  <c r="Z37" i="24" s="1"/>
  <c r="AA37" i="24" s="1"/>
  <c r="Y53" i="24"/>
  <c r="Z53" i="24" s="1"/>
  <c r="AA53" i="24" s="1"/>
  <c r="Y24" i="24"/>
  <c r="Z24" i="24" s="1"/>
  <c r="AA24" i="24" s="1"/>
  <c r="Y79" i="24"/>
  <c r="Z79" i="24" s="1"/>
  <c r="AA79" i="24" s="1"/>
  <c r="F125" i="24"/>
  <c r="F16" i="24"/>
  <c r="F12" i="24"/>
  <c r="F94" i="24"/>
  <c r="Y44" i="24"/>
  <c r="Z44" i="24" s="1"/>
  <c r="AA44" i="24" s="1"/>
  <c r="F91" i="24"/>
  <c r="F128" i="24"/>
  <c r="F103" i="24"/>
  <c r="F63" i="24"/>
  <c r="F139" i="24"/>
  <c r="F82" i="24"/>
  <c r="F77" i="24"/>
  <c r="F133" i="24"/>
  <c r="F116" i="24"/>
  <c r="F7" i="24"/>
  <c r="Y8" i="24"/>
  <c r="Z8" i="24" s="1"/>
  <c r="AA8" i="24" s="1"/>
  <c r="Y19" i="24"/>
  <c r="Z19" i="24" s="1"/>
  <c r="AA19" i="24" s="1"/>
  <c r="F60" i="24"/>
  <c r="F70" i="24"/>
  <c r="Y17" i="24"/>
  <c r="Z17" i="24" s="1"/>
  <c r="AA17" i="24" s="1"/>
  <c r="F123" i="24"/>
  <c r="F29" i="24"/>
  <c r="F74" i="24"/>
  <c r="F69" i="24"/>
  <c r="F98" i="24"/>
  <c r="Y31" i="24"/>
  <c r="Z31" i="24" s="1"/>
  <c r="AA31" i="24" s="1"/>
  <c r="F105" i="24"/>
  <c r="Y41" i="24"/>
  <c r="Z41" i="24" s="1"/>
  <c r="AA41" i="24" s="1"/>
  <c r="F15" i="24"/>
  <c r="F56" i="24"/>
  <c r="F132" i="24"/>
  <c r="F28" i="24"/>
  <c r="F40" i="24"/>
  <c r="F59" i="24"/>
  <c r="F113" i="24"/>
  <c r="F88" i="24"/>
  <c r="F75" i="24"/>
  <c r="F54" i="24"/>
  <c r="F112" i="24"/>
  <c r="Y22" i="24"/>
  <c r="Z22" i="24" s="1"/>
  <c r="AA22" i="24" s="1"/>
  <c r="F55" i="24"/>
  <c r="F21" i="24"/>
  <c r="F9" i="24"/>
  <c r="Y18" i="24"/>
  <c r="Z18" i="24" s="1"/>
  <c r="AA18" i="24" s="1"/>
  <c r="Q7" i="24"/>
  <c r="R7" i="24" s="1"/>
  <c r="S7" i="24" s="1"/>
  <c r="I11" i="24"/>
  <c r="K11" i="24"/>
  <c r="J11" i="24"/>
  <c r="H11" i="24"/>
  <c r="G11" i="24"/>
  <c r="E11" i="24"/>
  <c r="J35" i="24"/>
  <c r="K35" i="24"/>
  <c r="I35" i="24"/>
  <c r="H35" i="24"/>
  <c r="G35" i="24"/>
  <c r="E35" i="24"/>
  <c r="I146" i="24"/>
  <c r="J146" i="24"/>
  <c r="K146" i="24"/>
  <c r="H146" i="24"/>
  <c r="G146" i="24"/>
  <c r="E146" i="24"/>
  <c r="J147" i="24"/>
  <c r="K147" i="24"/>
  <c r="I147" i="24"/>
  <c r="H147" i="24"/>
  <c r="G147" i="24"/>
  <c r="E147" i="24"/>
  <c r="I110" i="24"/>
  <c r="K110" i="24"/>
  <c r="J110" i="24"/>
  <c r="H110" i="24"/>
  <c r="G110" i="24"/>
  <c r="E110" i="24"/>
  <c r="J144" i="24"/>
  <c r="K144" i="24"/>
  <c r="I144" i="24"/>
  <c r="H144" i="24"/>
  <c r="G144" i="24"/>
  <c r="E144" i="24"/>
  <c r="I47" i="24"/>
  <c r="K47" i="24"/>
  <c r="J47" i="24"/>
  <c r="H47" i="24"/>
  <c r="G47" i="24"/>
  <c r="E47" i="24"/>
  <c r="I127" i="24"/>
  <c r="K127" i="24"/>
  <c r="J127" i="24"/>
  <c r="H127" i="24"/>
  <c r="G127" i="24"/>
  <c r="E127" i="24"/>
  <c r="K26" i="24"/>
  <c r="I26" i="24"/>
  <c r="J26" i="24"/>
  <c r="H26" i="24"/>
  <c r="G26" i="24"/>
  <c r="E26" i="24"/>
  <c r="K42" i="24"/>
  <c r="I42" i="24"/>
  <c r="J42" i="24"/>
  <c r="H42" i="24"/>
  <c r="G42" i="24"/>
  <c r="E42" i="24"/>
  <c r="J50" i="24"/>
  <c r="I50" i="24"/>
  <c r="K50" i="24"/>
  <c r="H50" i="24"/>
  <c r="G50" i="24"/>
  <c r="E50" i="24"/>
  <c r="J89" i="24"/>
  <c r="K89" i="24"/>
  <c r="I89" i="24"/>
  <c r="H89" i="24"/>
  <c r="G89" i="24"/>
  <c r="E89" i="24"/>
  <c r="K73" i="24"/>
  <c r="J73" i="24"/>
  <c r="I73" i="24"/>
  <c r="H73" i="24"/>
  <c r="G73" i="24"/>
  <c r="E73" i="24"/>
  <c r="I154" i="24"/>
  <c r="K154" i="24"/>
  <c r="J154" i="24"/>
  <c r="H154" i="24"/>
  <c r="G154" i="24"/>
  <c r="E154" i="24"/>
  <c r="K118" i="24"/>
  <c r="J118" i="24"/>
  <c r="I118" i="24"/>
  <c r="H118" i="24"/>
  <c r="G118" i="24"/>
  <c r="E118" i="24"/>
  <c r="J92" i="24"/>
  <c r="I92" i="24"/>
  <c r="K92" i="24"/>
  <c r="H92" i="24"/>
  <c r="G92" i="24"/>
  <c r="E92" i="24"/>
  <c r="J83" i="24"/>
  <c r="K83" i="24"/>
  <c r="I83" i="24"/>
  <c r="H83" i="24"/>
  <c r="G83" i="24"/>
  <c r="E83" i="24"/>
  <c r="I117" i="24"/>
  <c r="K117" i="24"/>
  <c r="J117" i="24"/>
  <c r="H117" i="24"/>
  <c r="G117" i="24"/>
  <c r="E117" i="24"/>
  <c r="K20" i="24"/>
  <c r="J20" i="24"/>
  <c r="I20" i="24"/>
  <c r="H20" i="24"/>
  <c r="G20" i="24"/>
  <c r="E20" i="24"/>
  <c r="F11" i="24"/>
  <c r="F42" i="24"/>
  <c r="F47" i="24"/>
  <c r="K152" i="24"/>
  <c r="J152" i="24"/>
  <c r="I152" i="24"/>
  <c r="H152" i="24"/>
  <c r="G152" i="24"/>
  <c r="E152" i="24"/>
  <c r="J38" i="24"/>
  <c r="K38" i="24"/>
  <c r="I38" i="24"/>
  <c r="H38" i="24"/>
  <c r="G38" i="24"/>
  <c r="E38" i="24"/>
  <c r="I68" i="24"/>
  <c r="K68" i="24"/>
  <c r="J68" i="24"/>
  <c r="H68" i="24"/>
  <c r="G68" i="24"/>
  <c r="E68" i="24"/>
  <c r="K140" i="24"/>
  <c r="J140" i="24"/>
  <c r="I140" i="24"/>
  <c r="H140" i="24"/>
  <c r="G140" i="24"/>
  <c r="E140" i="24"/>
  <c r="J87" i="24"/>
  <c r="I87" i="24"/>
  <c r="K87" i="24"/>
  <c r="H87" i="24"/>
  <c r="G87" i="24"/>
  <c r="E87" i="24"/>
  <c r="I84" i="24"/>
  <c r="J84" i="24"/>
  <c r="K84" i="24"/>
  <c r="H84" i="24"/>
  <c r="G84" i="24"/>
  <c r="E84" i="24"/>
  <c r="I106" i="24"/>
  <c r="J106" i="24"/>
  <c r="K106" i="24"/>
  <c r="H106" i="24"/>
  <c r="G106" i="24"/>
  <c r="E106" i="24"/>
  <c r="J153" i="24"/>
  <c r="K153" i="24"/>
  <c r="I153" i="24"/>
  <c r="H153" i="24"/>
  <c r="G153" i="24"/>
  <c r="E153" i="24"/>
  <c r="F73" i="24"/>
  <c r="F153" i="24"/>
  <c r="F89" i="24"/>
  <c r="I51" i="24"/>
  <c r="J51" i="24"/>
  <c r="K51" i="24"/>
  <c r="H51" i="24"/>
  <c r="G51" i="24"/>
  <c r="E51" i="24"/>
  <c r="I100" i="24"/>
  <c r="K100" i="24"/>
  <c r="J100" i="24"/>
  <c r="H100" i="24"/>
  <c r="G100" i="24"/>
  <c r="E100" i="24"/>
  <c r="K34" i="24"/>
  <c r="I34" i="24"/>
  <c r="J34" i="24"/>
  <c r="H34" i="24"/>
  <c r="G34" i="24"/>
  <c r="E34" i="24"/>
  <c r="J48" i="24"/>
  <c r="K48" i="24"/>
  <c r="I48" i="24"/>
  <c r="H48" i="24"/>
  <c r="G48" i="24"/>
  <c r="E48" i="24"/>
  <c r="J97" i="24"/>
  <c r="K97" i="24"/>
  <c r="I97" i="24"/>
  <c r="H97" i="24"/>
  <c r="G97" i="24"/>
  <c r="E97" i="24"/>
  <c r="K81" i="24"/>
  <c r="I81" i="24"/>
  <c r="J81" i="24"/>
  <c r="H81" i="24"/>
  <c r="G81" i="24"/>
  <c r="E81" i="24"/>
  <c r="J70" i="24"/>
  <c r="I70" i="24"/>
  <c r="K70" i="24"/>
  <c r="H70" i="24"/>
  <c r="G70" i="24"/>
  <c r="E70" i="24"/>
  <c r="J96" i="24"/>
  <c r="K96" i="24"/>
  <c r="I96" i="24"/>
  <c r="H96" i="24"/>
  <c r="G96" i="24"/>
  <c r="E96" i="24"/>
  <c r="J32" i="24"/>
  <c r="I32" i="24"/>
  <c r="K32" i="24"/>
  <c r="H32" i="24"/>
  <c r="G32" i="24"/>
  <c r="E32" i="24"/>
  <c r="J60" i="24"/>
  <c r="I60" i="24"/>
  <c r="K60" i="24"/>
  <c r="H60" i="24"/>
  <c r="G60" i="24"/>
  <c r="E60" i="24"/>
  <c r="J46" i="24"/>
  <c r="I46" i="24"/>
  <c r="K46" i="24"/>
  <c r="H46" i="24"/>
  <c r="G46" i="24"/>
  <c r="E46" i="24"/>
  <c r="J99" i="24"/>
  <c r="I99" i="24"/>
  <c r="K99" i="24"/>
  <c r="H99" i="24"/>
  <c r="G99" i="24"/>
  <c r="E99" i="24"/>
  <c r="J29" i="24"/>
  <c r="K29" i="24"/>
  <c r="I29" i="24"/>
  <c r="H29" i="24"/>
  <c r="G29" i="24"/>
  <c r="E29" i="24"/>
  <c r="AS6" i="25"/>
  <c r="I123" i="24"/>
  <c r="K123" i="24"/>
  <c r="J123" i="24"/>
  <c r="H123" i="24"/>
  <c r="G123" i="24"/>
  <c r="E123" i="24"/>
  <c r="J109" i="24"/>
  <c r="I109" i="24"/>
  <c r="K109" i="24"/>
  <c r="H109" i="24"/>
  <c r="G109" i="24"/>
  <c r="E109" i="24"/>
  <c r="I111" i="24"/>
  <c r="J111" i="24"/>
  <c r="K111" i="24"/>
  <c r="H111" i="24"/>
  <c r="G111" i="24"/>
  <c r="E111" i="24"/>
  <c r="J102" i="24"/>
  <c r="K102" i="24"/>
  <c r="I102" i="24"/>
  <c r="H102" i="24"/>
  <c r="G102" i="24"/>
  <c r="E102" i="24"/>
  <c r="J39" i="24"/>
  <c r="K39" i="24"/>
  <c r="I39" i="24"/>
  <c r="G39" i="24"/>
  <c r="H39" i="24"/>
  <c r="E39" i="24"/>
  <c r="I143" i="24"/>
  <c r="K143" i="24"/>
  <c r="J143" i="24"/>
  <c r="H143" i="24"/>
  <c r="G143" i="24"/>
  <c r="E143" i="24"/>
  <c r="K72" i="24"/>
  <c r="I72" i="24"/>
  <c r="J72" i="24"/>
  <c r="H72" i="24"/>
  <c r="G72" i="24"/>
  <c r="E72" i="24"/>
  <c r="J12" i="24"/>
  <c r="I12" i="24"/>
  <c r="K12" i="24"/>
  <c r="H12" i="24"/>
  <c r="G12" i="24"/>
  <c r="E12" i="24"/>
  <c r="I94" i="24"/>
  <c r="K94" i="24"/>
  <c r="J94" i="24"/>
  <c r="H94" i="24"/>
  <c r="G94" i="24"/>
  <c r="E94" i="24"/>
  <c r="AS7" i="25"/>
  <c r="I148" i="24"/>
  <c r="J148" i="24"/>
  <c r="K148" i="24"/>
  <c r="H148" i="24"/>
  <c r="G148" i="24"/>
  <c r="E148" i="24"/>
  <c r="AS17" i="25"/>
  <c r="AS11" i="25"/>
  <c r="AS18" i="25"/>
  <c r="AS23" i="25"/>
  <c r="K115" i="24"/>
  <c r="J115" i="24"/>
  <c r="I115" i="24"/>
  <c r="H115" i="24"/>
  <c r="G115" i="24"/>
  <c r="E115" i="24"/>
  <c r="I78" i="24"/>
  <c r="J78" i="24"/>
  <c r="K78" i="24"/>
  <c r="H78" i="24"/>
  <c r="G78" i="24"/>
  <c r="E78" i="24"/>
  <c r="J134" i="24"/>
  <c r="K134" i="24"/>
  <c r="I134" i="24"/>
  <c r="H134" i="24"/>
  <c r="G134" i="24"/>
  <c r="E134" i="24"/>
  <c r="J137" i="24"/>
  <c r="I137" i="24"/>
  <c r="K137" i="24"/>
  <c r="H137" i="24"/>
  <c r="G137" i="24"/>
  <c r="E137" i="24"/>
  <c r="F34" i="24"/>
  <c r="F96" i="24"/>
  <c r="F152" i="24"/>
  <c r="F20" i="24"/>
  <c r="F143" i="24"/>
  <c r="K67" i="24"/>
  <c r="J67" i="24"/>
  <c r="I67" i="24"/>
  <c r="G67" i="24"/>
  <c r="H67" i="24"/>
  <c r="E67" i="24"/>
  <c r="K23" i="24"/>
  <c r="I23" i="24"/>
  <c r="J23" i="24"/>
  <c r="H23" i="24"/>
  <c r="G23" i="24"/>
  <c r="E23" i="24"/>
  <c r="I90" i="24"/>
  <c r="K90" i="24"/>
  <c r="J90" i="24"/>
  <c r="H90" i="24"/>
  <c r="G90" i="24"/>
  <c r="E90" i="24"/>
  <c r="K74" i="24"/>
  <c r="I74" i="24"/>
  <c r="J74" i="24"/>
  <c r="H74" i="24"/>
  <c r="G74" i="24"/>
  <c r="E74" i="24"/>
  <c r="K62" i="24"/>
  <c r="J62" i="24"/>
  <c r="I62" i="24"/>
  <c r="H62" i="24"/>
  <c r="G62" i="24"/>
  <c r="E62" i="24"/>
  <c r="J27" i="24"/>
  <c r="K27" i="24"/>
  <c r="I27" i="24"/>
  <c r="G27" i="24"/>
  <c r="H27" i="24"/>
  <c r="E27" i="24"/>
  <c r="K136" i="24"/>
  <c r="J136" i="24"/>
  <c r="I136" i="24"/>
  <c r="H136" i="24"/>
  <c r="G136" i="24"/>
  <c r="E136" i="24"/>
  <c r="J107" i="24"/>
  <c r="I107" i="24"/>
  <c r="K107" i="24"/>
  <c r="H107" i="24"/>
  <c r="G107" i="24"/>
  <c r="E107" i="24"/>
  <c r="I82" i="24"/>
  <c r="K82" i="24"/>
  <c r="J82" i="24"/>
  <c r="G82" i="24"/>
  <c r="H82" i="24"/>
  <c r="E82" i="24"/>
  <c r="J64" i="24"/>
  <c r="I64" i="24"/>
  <c r="K64" i="24"/>
  <c r="H64" i="24"/>
  <c r="G64" i="24"/>
  <c r="E64" i="24"/>
  <c r="J138" i="24"/>
  <c r="I138" i="24"/>
  <c r="K138" i="24"/>
  <c r="H138" i="24"/>
  <c r="G138" i="24"/>
  <c r="E138" i="24"/>
  <c r="I80" i="24"/>
  <c r="K80" i="24"/>
  <c r="J80" i="24"/>
  <c r="H80" i="24"/>
  <c r="G80" i="24"/>
  <c r="E80" i="24"/>
  <c r="K91" i="24"/>
  <c r="J91" i="24"/>
  <c r="I91" i="24"/>
  <c r="H91" i="24"/>
  <c r="G91" i="24"/>
  <c r="E91" i="24"/>
  <c r="J128" i="24"/>
  <c r="K128" i="24"/>
  <c r="I128" i="24"/>
  <c r="H128" i="24"/>
  <c r="G128" i="24"/>
  <c r="E128" i="24"/>
  <c r="I103" i="24"/>
  <c r="J103" i="24"/>
  <c r="K103" i="24"/>
  <c r="H103" i="24"/>
  <c r="G103" i="24"/>
  <c r="E103" i="24"/>
  <c r="K108" i="24"/>
  <c r="J108" i="24"/>
  <c r="I108" i="24"/>
  <c r="H108" i="24"/>
  <c r="G108" i="24"/>
  <c r="E108" i="24"/>
  <c r="I114" i="24"/>
  <c r="J114" i="24"/>
  <c r="K114" i="24"/>
  <c r="H114" i="24"/>
  <c r="G114" i="24"/>
  <c r="E114" i="24"/>
  <c r="J125" i="24"/>
  <c r="I125" i="24"/>
  <c r="K125" i="24"/>
  <c r="H125" i="24"/>
  <c r="G125" i="24"/>
  <c r="E125" i="24"/>
  <c r="J57" i="24"/>
  <c r="K57" i="24"/>
  <c r="I57" i="24"/>
  <c r="H57" i="24"/>
  <c r="G57" i="24"/>
  <c r="E57" i="24"/>
  <c r="F78" i="24"/>
  <c r="F46" i="24"/>
  <c r="F87" i="24"/>
  <c r="F51" i="24"/>
  <c r="F80" i="24"/>
  <c r="F35" i="24"/>
  <c r="F57" i="24"/>
  <c r="F114" i="24"/>
  <c r="F154" i="24"/>
  <c r="F83" i="24"/>
  <c r="F127" i="24"/>
  <c r="F102" i="24"/>
  <c r="I122" i="24"/>
  <c r="K122" i="24"/>
  <c r="J122" i="24"/>
  <c r="H122" i="24"/>
  <c r="G122" i="24"/>
  <c r="E122" i="24"/>
  <c r="AS12" i="25"/>
  <c r="I135" i="24"/>
  <c r="J135" i="24"/>
  <c r="K135" i="24"/>
  <c r="H135" i="24"/>
  <c r="G135" i="24"/>
  <c r="E135" i="24"/>
  <c r="K131" i="24"/>
  <c r="J131" i="24"/>
  <c r="I131" i="24"/>
  <c r="H131" i="24"/>
  <c r="G131" i="24"/>
  <c r="E131" i="24"/>
  <c r="K113" i="24"/>
  <c r="I113" i="24"/>
  <c r="J113" i="24"/>
  <c r="H113" i="24"/>
  <c r="G113" i="24"/>
  <c r="E113" i="24"/>
  <c r="I88" i="24"/>
  <c r="J88" i="24"/>
  <c r="K88" i="24"/>
  <c r="H88" i="24"/>
  <c r="G88" i="24"/>
  <c r="E88" i="24"/>
  <c r="J93" i="24"/>
  <c r="K93" i="24"/>
  <c r="I93" i="24"/>
  <c r="H93" i="24"/>
  <c r="G93" i="24"/>
  <c r="E93" i="24"/>
  <c r="AS10" i="25"/>
  <c r="K52" i="24"/>
  <c r="I52" i="24"/>
  <c r="J52" i="24"/>
  <c r="H52" i="24"/>
  <c r="G52" i="24"/>
  <c r="E52" i="24"/>
  <c r="K150" i="24"/>
  <c r="J150" i="24"/>
  <c r="I150" i="24"/>
  <c r="H150" i="24"/>
  <c r="G150" i="24"/>
  <c r="E150" i="24"/>
  <c r="I126" i="24"/>
  <c r="J126" i="24"/>
  <c r="K126" i="24"/>
  <c r="H126" i="24"/>
  <c r="G126" i="24"/>
  <c r="E126" i="24"/>
  <c r="J77" i="24"/>
  <c r="K77" i="24"/>
  <c r="I77" i="24"/>
  <c r="H77" i="24"/>
  <c r="G77" i="24"/>
  <c r="E77" i="24"/>
  <c r="I49" i="24"/>
  <c r="K49" i="24"/>
  <c r="J49" i="24"/>
  <c r="H49" i="24"/>
  <c r="G49" i="24"/>
  <c r="E49" i="24"/>
  <c r="F138" i="24"/>
  <c r="F148" i="24"/>
  <c r="F32" i="24"/>
  <c r="F72" i="24"/>
  <c r="F100" i="24"/>
  <c r="F48" i="24"/>
  <c r="F135" i="24"/>
  <c r="F108" i="24"/>
  <c r="F93" i="24"/>
  <c r="F38" i="24"/>
  <c r="F115" i="24"/>
  <c r="F117" i="24"/>
  <c r="F111" i="24"/>
  <c r="J56" i="24"/>
  <c r="I56" i="24"/>
  <c r="K56" i="24"/>
  <c r="H56" i="24"/>
  <c r="G56" i="24"/>
  <c r="E56" i="24"/>
  <c r="K69" i="24"/>
  <c r="I69" i="24"/>
  <c r="J69" i="24"/>
  <c r="G69" i="24"/>
  <c r="H69" i="24"/>
  <c r="E69" i="24"/>
  <c r="AS15" i="25"/>
  <c r="K28" i="24"/>
  <c r="I28" i="24"/>
  <c r="J28" i="24"/>
  <c r="H28" i="24"/>
  <c r="G28" i="24"/>
  <c r="E28" i="24"/>
  <c r="I40" i="24"/>
  <c r="J40" i="24"/>
  <c r="K40" i="24"/>
  <c r="H40" i="24"/>
  <c r="G40" i="24"/>
  <c r="E40" i="24"/>
  <c r="K16" i="24"/>
  <c r="J16" i="24"/>
  <c r="I16" i="24"/>
  <c r="H16" i="24"/>
  <c r="G16" i="24"/>
  <c r="E16" i="24"/>
  <c r="I129" i="24"/>
  <c r="K129" i="24"/>
  <c r="J129" i="24"/>
  <c r="H129" i="24"/>
  <c r="G129" i="24"/>
  <c r="E129" i="24"/>
  <c r="I15" i="24"/>
  <c r="K15" i="24"/>
  <c r="J15" i="24"/>
  <c r="H15" i="24"/>
  <c r="G15" i="24"/>
  <c r="E15" i="24"/>
  <c r="I75" i="24"/>
  <c r="J75" i="24"/>
  <c r="K75" i="24"/>
  <c r="H75" i="24"/>
  <c r="G75" i="24"/>
  <c r="E75" i="24"/>
  <c r="I105" i="24"/>
  <c r="J105" i="24"/>
  <c r="K105" i="24"/>
  <c r="H105" i="24"/>
  <c r="G105" i="24"/>
  <c r="E105" i="24"/>
  <c r="K36" i="24"/>
  <c r="I36" i="24"/>
  <c r="J36" i="24"/>
  <c r="H36" i="24"/>
  <c r="G36" i="24"/>
  <c r="E36" i="24"/>
  <c r="J61" i="24"/>
  <c r="K61" i="24"/>
  <c r="I61" i="24"/>
  <c r="H61" i="24"/>
  <c r="G61" i="24"/>
  <c r="E61" i="24"/>
  <c r="K43" i="24"/>
  <c r="I43" i="24"/>
  <c r="J43" i="24"/>
  <c r="H43" i="24"/>
  <c r="G43" i="24"/>
  <c r="E43" i="24"/>
  <c r="I86" i="24"/>
  <c r="J86" i="24"/>
  <c r="K86" i="24"/>
  <c r="H86" i="24"/>
  <c r="G86" i="24"/>
  <c r="E86" i="24"/>
  <c r="I133" i="24"/>
  <c r="J133" i="24"/>
  <c r="K133" i="24"/>
  <c r="H133" i="24"/>
  <c r="G133" i="24"/>
  <c r="E133" i="24"/>
  <c r="J116" i="24"/>
  <c r="I116" i="24"/>
  <c r="K116" i="24"/>
  <c r="H116" i="24"/>
  <c r="G116" i="24"/>
  <c r="E116" i="24"/>
  <c r="F150" i="24"/>
  <c r="F52" i="24"/>
  <c r="F64" i="24"/>
  <c r="F136" i="24"/>
  <c r="F99" i="24"/>
  <c r="Z6" i="24"/>
  <c r="F106" i="24"/>
  <c r="F122" i="24"/>
  <c r="F97" i="24"/>
  <c r="F49" i="24"/>
  <c r="F81" i="24"/>
  <c r="F26" i="24"/>
  <c r="F147" i="24"/>
  <c r="F90" i="24"/>
  <c r="K132" i="24"/>
  <c r="J132" i="24"/>
  <c r="I132" i="24"/>
  <c r="H132" i="24"/>
  <c r="G132" i="24"/>
  <c r="E132" i="24"/>
  <c r="I85" i="24"/>
  <c r="K85" i="24"/>
  <c r="J85" i="24"/>
  <c r="H85" i="24"/>
  <c r="G85" i="24"/>
  <c r="E85" i="24"/>
  <c r="I120" i="24"/>
  <c r="J120" i="24"/>
  <c r="K120" i="24"/>
  <c r="H120" i="24"/>
  <c r="G120" i="24"/>
  <c r="E120" i="24"/>
  <c r="I76" i="24"/>
  <c r="K76" i="24"/>
  <c r="J76" i="24"/>
  <c r="H76" i="24"/>
  <c r="G76" i="24"/>
  <c r="E76" i="24"/>
  <c r="AS13" i="25"/>
  <c r="I10" i="24"/>
  <c r="J10" i="24"/>
  <c r="K10" i="24"/>
  <c r="H10" i="24"/>
  <c r="G10" i="24"/>
  <c r="E10" i="24"/>
  <c r="I142" i="24"/>
  <c r="J142" i="24"/>
  <c r="K142" i="24"/>
  <c r="H142" i="24"/>
  <c r="G142" i="24"/>
  <c r="E142" i="24"/>
  <c r="K59" i="24"/>
  <c r="J59" i="24"/>
  <c r="I59" i="24"/>
  <c r="H59" i="24"/>
  <c r="G59" i="24"/>
  <c r="E59" i="24"/>
  <c r="J98" i="24"/>
  <c r="K98" i="24"/>
  <c r="I98" i="24"/>
  <c r="H98" i="24"/>
  <c r="G98" i="24"/>
  <c r="E98" i="24"/>
  <c r="K13" i="24"/>
  <c r="I13" i="24"/>
  <c r="J13" i="24"/>
  <c r="H13" i="24"/>
  <c r="G13" i="24"/>
  <c r="E13" i="24"/>
  <c r="K66" i="24"/>
  <c r="I66" i="24"/>
  <c r="J66" i="24"/>
  <c r="H66" i="24"/>
  <c r="G66" i="24"/>
  <c r="E66" i="24"/>
  <c r="J14" i="24"/>
  <c r="K14" i="24"/>
  <c r="I14" i="24"/>
  <c r="H14" i="24"/>
  <c r="G14" i="24"/>
  <c r="E14" i="24"/>
  <c r="J141" i="24"/>
  <c r="I141" i="24"/>
  <c r="K141" i="24"/>
  <c r="H141" i="24"/>
  <c r="G141" i="24"/>
  <c r="E141" i="24"/>
  <c r="K65" i="24"/>
  <c r="I65" i="24"/>
  <c r="J65" i="24"/>
  <c r="H65" i="24"/>
  <c r="G65" i="24"/>
  <c r="E65" i="24"/>
  <c r="K58" i="24"/>
  <c r="J58" i="24"/>
  <c r="I58" i="24"/>
  <c r="H58" i="24"/>
  <c r="G58" i="24"/>
  <c r="E58" i="24"/>
  <c r="K54" i="24"/>
  <c r="I54" i="24"/>
  <c r="J54" i="24"/>
  <c r="H54" i="24"/>
  <c r="G54" i="24"/>
  <c r="E54" i="24"/>
  <c r="K112" i="24"/>
  <c r="J112" i="24"/>
  <c r="I112" i="24"/>
  <c r="H112" i="24"/>
  <c r="G112" i="24"/>
  <c r="E112" i="24"/>
  <c r="AS16" i="25"/>
  <c r="I55" i="24"/>
  <c r="J55" i="24"/>
  <c r="K55" i="24"/>
  <c r="H55" i="24"/>
  <c r="G55" i="24"/>
  <c r="E55" i="24"/>
  <c r="J7" i="24"/>
  <c r="K7" i="24"/>
  <c r="I7" i="24"/>
  <c r="H7" i="24"/>
  <c r="G7" i="24"/>
  <c r="E7" i="24"/>
  <c r="F129" i="24"/>
  <c r="F61" i="24"/>
  <c r="F110" i="24"/>
  <c r="F50" i="24"/>
  <c r="F118" i="24"/>
  <c r="F14" i="24"/>
  <c r="F65" i="24"/>
  <c r="F137" i="24"/>
  <c r="F68" i="24"/>
  <c r="F62" i="24"/>
  <c r="F140" i="24"/>
  <c r="F126" i="24"/>
  <c r="I139" i="24"/>
  <c r="J139" i="24"/>
  <c r="K139" i="24"/>
  <c r="H139" i="24"/>
  <c r="G139" i="24"/>
  <c r="E139" i="24"/>
  <c r="I33" i="24"/>
  <c r="J33" i="24"/>
  <c r="K33" i="24"/>
  <c r="H33" i="24"/>
  <c r="G33" i="24"/>
  <c r="E33" i="24"/>
  <c r="K151" i="24"/>
  <c r="J151" i="24"/>
  <c r="I151" i="24"/>
  <c r="H151" i="24"/>
  <c r="G151" i="24"/>
  <c r="E151" i="24"/>
  <c r="AS19" i="25"/>
  <c r="K101" i="24"/>
  <c r="J101" i="24"/>
  <c r="I101" i="24"/>
  <c r="H101" i="24"/>
  <c r="G101" i="24"/>
  <c r="E101" i="24"/>
  <c r="I63" i="24"/>
  <c r="J63" i="24"/>
  <c r="K63" i="24"/>
  <c r="H63" i="24"/>
  <c r="G63" i="24"/>
  <c r="E63" i="24"/>
  <c r="AS21" i="25"/>
  <c r="J21" i="24"/>
  <c r="K21" i="24"/>
  <c r="I21" i="24"/>
  <c r="G21" i="24"/>
  <c r="H21" i="24"/>
  <c r="E21" i="24"/>
  <c r="I9" i="24"/>
  <c r="J9" i="24"/>
  <c r="K9" i="24"/>
  <c r="H9" i="24"/>
  <c r="G9" i="24"/>
  <c r="E9" i="24"/>
  <c r="AS8" i="25"/>
  <c r="F76" i="24"/>
  <c r="F92" i="24"/>
  <c r="F146" i="24"/>
  <c r="F141" i="24"/>
  <c r="F39" i="24"/>
  <c r="F27" i="24"/>
  <c r="F84" i="24"/>
  <c r="F23" i="24"/>
  <c r="F67" i="24"/>
  <c r="F43" i="24"/>
  <c r="F144" i="24"/>
  <c r="F107" i="24"/>
  <c r="F109" i="24"/>
  <c r="F58" i="24"/>
  <c r="F36" i="24"/>
  <c r="F86" i="24"/>
  <c r="N111" i="24"/>
  <c r="N12" i="24"/>
  <c r="N74" i="24"/>
  <c r="N27" i="24"/>
  <c r="N136" i="24"/>
  <c r="N107" i="24"/>
  <c r="N138" i="24"/>
  <c r="N80" i="24"/>
  <c r="N128" i="24"/>
  <c r="N108" i="24"/>
  <c r="N114" i="24"/>
  <c r="N125" i="24"/>
  <c r="O149" i="24"/>
  <c r="O130" i="24"/>
  <c r="N143" i="24"/>
  <c r="N115" i="24"/>
  <c r="N137" i="24"/>
  <c r="N67" i="24"/>
  <c r="N23" i="24"/>
  <c r="N90" i="24"/>
  <c r="N122" i="24"/>
  <c r="N29" i="24"/>
  <c r="N132" i="24"/>
  <c r="N69" i="24"/>
  <c r="N131" i="24"/>
  <c r="N113" i="24"/>
  <c r="N88" i="24"/>
  <c r="N93" i="24"/>
  <c r="N52" i="24"/>
  <c r="N148" i="24"/>
  <c r="N126" i="24"/>
  <c r="N77" i="24"/>
  <c r="N78" i="24"/>
  <c r="N123" i="24"/>
  <c r="N39" i="24"/>
  <c r="N117" i="24"/>
  <c r="N85" i="24"/>
  <c r="N120" i="24"/>
  <c r="N62" i="24"/>
  <c r="N40" i="24"/>
  <c r="N82" i="24"/>
  <c r="N64" i="24"/>
  <c r="N75" i="24"/>
  <c r="N105" i="24"/>
  <c r="N91" i="24"/>
  <c r="N43" i="24"/>
  <c r="N103" i="24"/>
  <c r="N86" i="24"/>
  <c r="N133" i="24"/>
  <c r="N116" i="24"/>
  <c r="N121" i="24"/>
  <c r="O7" i="24"/>
  <c r="O30" i="24"/>
  <c r="N109" i="24"/>
  <c r="N76" i="24"/>
  <c r="N56" i="24"/>
  <c r="N10" i="24"/>
  <c r="N135" i="24"/>
  <c r="N59" i="24"/>
  <c r="N98" i="24"/>
  <c r="N13" i="24"/>
  <c r="N66" i="24"/>
  <c r="N14" i="24"/>
  <c r="N141" i="24"/>
  <c r="N65" i="24"/>
  <c r="N150" i="24"/>
  <c r="N112" i="24"/>
  <c r="N49" i="24"/>
  <c r="N124" i="24"/>
  <c r="N99" i="24"/>
  <c r="N102" i="24"/>
  <c r="N83" i="24"/>
  <c r="N100" i="24"/>
  <c r="N48" i="24"/>
  <c r="N97" i="24"/>
  <c r="N81" i="24"/>
  <c r="N28" i="24"/>
  <c r="N16" i="24"/>
  <c r="N129" i="24"/>
  <c r="N15" i="24"/>
  <c r="N101" i="24"/>
  <c r="N63" i="24"/>
  <c r="N36" i="24"/>
  <c r="N61" i="24"/>
  <c r="N21" i="24"/>
  <c r="N9" i="24"/>
  <c r="O104" i="24"/>
  <c r="O119" i="24"/>
  <c r="N146" i="24"/>
  <c r="N94" i="24"/>
  <c r="N139" i="24"/>
  <c r="N147" i="24"/>
  <c r="N110" i="24"/>
  <c r="N144" i="24"/>
  <c r="N142" i="24"/>
  <c r="N47" i="24"/>
  <c r="N127" i="24"/>
  <c r="N26" i="24"/>
  <c r="N42" i="24"/>
  <c r="N50" i="24"/>
  <c r="N89" i="24"/>
  <c r="N58" i="24"/>
  <c r="N54" i="24"/>
  <c r="N73" i="24"/>
  <c r="N154" i="24"/>
  <c r="N118" i="24"/>
  <c r="N55" i="24"/>
  <c r="N92" i="24"/>
  <c r="N20" i="24"/>
  <c r="N72" i="24"/>
  <c r="N134" i="24"/>
  <c r="N11" i="24"/>
  <c r="N34" i="24"/>
  <c r="N51" i="24"/>
  <c r="N70" i="24"/>
  <c r="N96" i="24"/>
  <c r="N32" i="24"/>
  <c r="N60" i="24"/>
  <c r="N46" i="24"/>
  <c r="N35" i="24"/>
  <c r="N152" i="24"/>
  <c r="N33" i="24"/>
  <c r="N151" i="24"/>
  <c r="N38" i="24"/>
  <c r="N68" i="24"/>
  <c r="N140" i="24"/>
  <c r="N87" i="24"/>
  <c r="N84" i="24"/>
  <c r="N106" i="24"/>
  <c r="N153" i="24"/>
  <c r="O95" i="24"/>
  <c r="O57" i="24"/>
  <c r="O145" i="24"/>
  <c r="Q67" i="24"/>
  <c r="R67" i="24" s="1"/>
  <c r="S67" i="24" s="1"/>
  <c r="AX67" i="17"/>
  <c r="Q113" i="24"/>
  <c r="R113" i="24" s="1"/>
  <c r="S113" i="24" s="1"/>
  <c r="AX113" i="17"/>
  <c r="Q59" i="24"/>
  <c r="R59" i="24" s="1"/>
  <c r="S59" i="24" s="1"/>
  <c r="AX59" i="17"/>
  <c r="U149" i="24"/>
  <c r="V149" i="24" s="1"/>
  <c r="W149" i="24" s="1"/>
  <c r="AX151" i="17"/>
  <c r="Q151" i="24"/>
  <c r="R151" i="24" s="1"/>
  <c r="S151" i="24" s="1"/>
  <c r="AX94" i="17"/>
  <c r="Q94" i="24"/>
  <c r="R94" i="24" s="1"/>
  <c r="S94" i="24" s="1"/>
  <c r="Z7" i="25"/>
  <c r="AV44" i="17"/>
  <c r="M44" i="24"/>
  <c r="Q150" i="24"/>
  <c r="R150" i="24" s="1"/>
  <c r="S150" i="24" s="1"/>
  <c r="AX150" i="17"/>
  <c r="Z23" i="25"/>
  <c r="AV79" i="17"/>
  <c r="M79" i="24"/>
  <c r="Q115" i="24"/>
  <c r="R115" i="24" s="1"/>
  <c r="S115" i="24" s="1"/>
  <c r="AX115" i="17"/>
  <c r="AX108" i="17"/>
  <c r="Q108" i="24"/>
  <c r="R108" i="24" s="1"/>
  <c r="S108" i="24" s="1"/>
  <c r="Q83" i="24"/>
  <c r="R83" i="24" s="1"/>
  <c r="S83" i="24" s="1"/>
  <c r="AX83" i="17"/>
  <c r="Q90" i="24"/>
  <c r="R90" i="24" s="1"/>
  <c r="S90" i="24" s="1"/>
  <c r="AX90" i="17"/>
  <c r="AX118" i="17"/>
  <c r="Q118" i="24"/>
  <c r="R118" i="24" s="1"/>
  <c r="S118" i="24" s="1"/>
  <c r="AX55" i="17"/>
  <c r="Q55" i="24"/>
  <c r="R55" i="24" s="1"/>
  <c r="S55" i="24" s="1"/>
  <c r="Q128" i="24"/>
  <c r="R128" i="24" s="1"/>
  <c r="S128" i="24" s="1"/>
  <c r="AX128" i="17"/>
  <c r="AX62" i="17"/>
  <c r="Q62" i="24"/>
  <c r="R62" i="24" s="1"/>
  <c r="S62" i="24" s="1"/>
  <c r="Q144" i="24"/>
  <c r="R144" i="24" s="1"/>
  <c r="S144" i="24" s="1"/>
  <c r="AX144" i="17"/>
  <c r="Q142" i="24"/>
  <c r="R142" i="24" s="1"/>
  <c r="S142" i="24" s="1"/>
  <c r="AX142" i="17"/>
  <c r="AX136" i="17"/>
  <c r="Q136" i="24"/>
  <c r="R136" i="24" s="1"/>
  <c r="S136" i="24" s="1"/>
  <c r="AX26" i="17"/>
  <c r="Q26" i="24"/>
  <c r="R26" i="24" s="1"/>
  <c r="S26" i="24" s="1"/>
  <c r="AX131" i="17"/>
  <c r="Q131" i="24"/>
  <c r="R131" i="24" s="1"/>
  <c r="S131" i="24" s="1"/>
  <c r="Q15" i="24"/>
  <c r="R15" i="24" s="1"/>
  <c r="S15" i="24" s="1"/>
  <c r="AX15" i="17"/>
  <c r="Q39" i="24"/>
  <c r="R39" i="24" s="1"/>
  <c r="S39" i="24" s="1"/>
  <c r="AX39" i="17"/>
  <c r="Q72" i="24"/>
  <c r="R72" i="24" s="1"/>
  <c r="S72" i="24" s="1"/>
  <c r="AX72" i="17"/>
  <c r="AX64" i="17"/>
  <c r="Q64" i="24"/>
  <c r="R64" i="24" s="1"/>
  <c r="S64" i="24" s="1"/>
  <c r="Q68" i="24"/>
  <c r="R68" i="24" s="1"/>
  <c r="S68" i="24" s="1"/>
  <c r="AX68" i="17"/>
  <c r="Q105" i="24"/>
  <c r="R105" i="24" s="1"/>
  <c r="S105" i="24" s="1"/>
  <c r="AX105" i="17"/>
  <c r="AX91" i="17"/>
  <c r="Q91" i="24"/>
  <c r="R91" i="24" s="1"/>
  <c r="S91" i="24" s="1"/>
  <c r="AX87" i="17"/>
  <c r="Q87" i="24"/>
  <c r="R87" i="24" s="1"/>
  <c r="S87" i="24" s="1"/>
  <c r="Q77" i="24"/>
  <c r="R77" i="24" s="1"/>
  <c r="S77" i="24" s="1"/>
  <c r="AX77" i="17"/>
  <c r="Q125" i="24"/>
  <c r="R125" i="24" s="1"/>
  <c r="S125" i="24" s="1"/>
  <c r="AX125" i="17"/>
  <c r="AX28" i="17"/>
  <c r="Q28" i="24"/>
  <c r="R28" i="24" s="1"/>
  <c r="S28" i="24" s="1"/>
  <c r="Q111" i="24"/>
  <c r="R111" i="24" s="1"/>
  <c r="S111" i="24" s="1"/>
  <c r="AX111" i="17"/>
  <c r="Q40" i="24"/>
  <c r="R40" i="24" s="1"/>
  <c r="S40" i="24" s="1"/>
  <c r="AX40" i="17"/>
  <c r="Q129" i="24"/>
  <c r="R129" i="24" s="1"/>
  <c r="S129" i="24" s="1"/>
  <c r="AX129" i="17"/>
  <c r="U130" i="24"/>
  <c r="V130" i="24" s="1"/>
  <c r="W130" i="24" s="1"/>
  <c r="Q60" i="24"/>
  <c r="R60" i="24" s="1"/>
  <c r="S60" i="24" s="1"/>
  <c r="AX60" i="17"/>
  <c r="Q97" i="24"/>
  <c r="R97" i="24" s="1"/>
  <c r="S97" i="24" s="1"/>
  <c r="AX97" i="17"/>
  <c r="AX56" i="17"/>
  <c r="Q56" i="24"/>
  <c r="R56" i="24" s="1"/>
  <c r="S56" i="24" s="1"/>
  <c r="AX35" i="17"/>
  <c r="Q35" i="24"/>
  <c r="R35" i="24" s="1"/>
  <c r="S35" i="24" s="1"/>
  <c r="Q135" i="24"/>
  <c r="R135" i="24" s="1"/>
  <c r="S135" i="24" s="1"/>
  <c r="AX135" i="17"/>
  <c r="Z22" i="25"/>
  <c r="Z155" i="17"/>
  <c r="Y44" i="17" s="1"/>
  <c r="M6" i="24"/>
  <c r="AV6" i="17"/>
  <c r="U7" i="24"/>
  <c r="V7" i="24" s="1"/>
  <c r="W7" i="24" s="1"/>
  <c r="Q50" i="24"/>
  <c r="R50" i="24" s="1"/>
  <c r="S50" i="24" s="1"/>
  <c r="AX50" i="17"/>
  <c r="Q14" i="24"/>
  <c r="R14" i="24" s="1"/>
  <c r="S14" i="24" s="1"/>
  <c r="AX14" i="17"/>
  <c r="Q82" i="24"/>
  <c r="R82" i="24" s="1"/>
  <c r="S82" i="24" s="1"/>
  <c r="AX82" i="17"/>
  <c r="Z19" i="25"/>
  <c r="AV71" i="17"/>
  <c r="M71" i="24"/>
  <c r="Q101" i="24"/>
  <c r="R101" i="24" s="1"/>
  <c r="S101" i="24" s="1"/>
  <c r="AX101" i="17"/>
  <c r="AX73" i="17"/>
  <c r="Q73" i="24"/>
  <c r="R73" i="24" s="1"/>
  <c r="S73" i="24" s="1"/>
  <c r="Q61" i="24"/>
  <c r="R61" i="24" s="1"/>
  <c r="S61" i="24" s="1"/>
  <c r="AX61" i="17"/>
  <c r="Q43" i="24"/>
  <c r="R43" i="24" s="1"/>
  <c r="S43" i="24" s="1"/>
  <c r="AX43" i="17"/>
  <c r="Q103" i="24"/>
  <c r="R103" i="24" s="1"/>
  <c r="S103" i="24" s="1"/>
  <c r="AX103" i="17"/>
  <c r="AX134" i="17"/>
  <c r="Q134" i="24"/>
  <c r="R134" i="24" s="1"/>
  <c r="S134" i="24" s="1"/>
  <c r="U30" i="24"/>
  <c r="V30" i="24" s="1"/>
  <c r="W30" i="24" s="1"/>
  <c r="U124" i="24"/>
  <c r="V124" i="24" s="1"/>
  <c r="W124" i="24" s="1"/>
  <c r="Q141" i="24"/>
  <c r="R141" i="24" s="1"/>
  <c r="S141" i="24" s="1"/>
  <c r="AX141" i="17"/>
  <c r="AX34" i="17"/>
  <c r="Q34" i="24"/>
  <c r="R34" i="24" s="1"/>
  <c r="S34" i="24" s="1"/>
  <c r="Q96" i="24"/>
  <c r="R96" i="24" s="1"/>
  <c r="S96" i="24" s="1"/>
  <c r="AX96" i="17"/>
  <c r="Q99" i="24"/>
  <c r="R99" i="24" s="1"/>
  <c r="S99" i="24" s="1"/>
  <c r="AX99" i="17"/>
  <c r="AX132" i="17"/>
  <c r="Q132" i="24"/>
  <c r="R132" i="24" s="1"/>
  <c r="S132" i="24" s="1"/>
  <c r="Q109" i="24"/>
  <c r="R109" i="24" s="1"/>
  <c r="S109" i="24" s="1"/>
  <c r="AX109" i="17"/>
  <c r="Q47" i="24"/>
  <c r="R47" i="24" s="1"/>
  <c r="S47" i="24" s="1"/>
  <c r="AX47" i="17"/>
  <c r="Q98" i="24"/>
  <c r="R98" i="24" s="1"/>
  <c r="S98" i="24" s="1"/>
  <c r="AX98" i="17"/>
  <c r="AX13" i="17"/>
  <c r="Q13" i="24"/>
  <c r="R13" i="24" s="1"/>
  <c r="S13" i="24" s="1"/>
  <c r="Q143" i="24"/>
  <c r="R143" i="24" s="1"/>
  <c r="S143" i="24" s="1"/>
  <c r="AX143" i="17"/>
  <c r="AX33" i="17"/>
  <c r="Q33" i="24"/>
  <c r="R33" i="24" s="1"/>
  <c r="S33" i="24" s="1"/>
  <c r="Q75" i="24"/>
  <c r="R75" i="24" s="1"/>
  <c r="S75" i="24" s="1"/>
  <c r="AX75" i="17"/>
  <c r="AX54" i="17"/>
  <c r="Q54" i="24"/>
  <c r="R54" i="24" s="1"/>
  <c r="S54" i="24" s="1"/>
  <c r="Z11" i="25"/>
  <c r="AV53" i="17"/>
  <c r="M53" i="24"/>
  <c r="Z9" i="25"/>
  <c r="AV45" i="17"/>
  <c r="Q154" i="24"/>
  <c r="R154" i="24" s="1"/>
  <c r="S154" i="24" s="1"/>
  <c r="AX154" i="17"/>
  <c r="Q106" i="24"/>
  <c r="R106" i="24" s="1"/>
  <c r="S106" i="24" s="1"/>
  <c r="AX106" i="17"/>
  <c r="Q9" i="24"/>
  <c r="R9" i="24" s="1"/>
  <c r="S9" i="24" s="1"/>
  <c r="AX9" i="17"/>
  <c r="Q116" i="24"/>
  <c r="R116" i="24" s="1"/>
  <c r="S116" i="24" s="1"/>
  <c r="AX116" i="17"/>
  <c r="AX20" i="17"/>
  <c r="Q20" i="24"/>
  <c r="R20" i="24" s="1"/>
  <c r="S20" i="24" s="1"/>
  <c r="AX122" i="17"/>
  <c r="Q122" i="24"/>
  <c r="R122" i="24" s="1"/>
  <c r="S122" i="24" s="1"/>
  <c r="Q85" i="24"/>
  <c r="R85" i="24" s="1"/>
  <c r="S85" i="24" s="1"/>
  <c r="AX85" i="17"/>
  <c r="AX32" i="17"/>
  <c r="Q32" i="24"/>
  <c r="R32" i="24" s="1"/>
  <c r="S32" i="24" s="1"/>
  <c r="Q81" i="24"/>
  <c r="R81" i="24" s="1"/>
  <c r="S81" i="24" s="1"/>
  <c r="AX81" i="17"/>
  <c r="Z13" i="25"/>
  <c r="AV25" i="17"/>
  <c r="M25" i="24"/>
  <c r="Q10" i="24"/>
  <c r="R10" i="24" s="1"/>
  <c r="S10" i="24" s="1"/>
  <c r="AX10" i="17"/>
  <c r="Q27" i="24"/>
  <c r="R27" i="24" s="1"/>
  <c r="S27" i="24" s="1"/>
  <c r="AX27" i="17"/>
  <c r="Q107" i="24"/>
  <c r="R107" i="24" s="1"/>
  <c r="S107" i="24" s="1"/>
  <c r="AX107" i="17"/>
  <c r="AX16" i="17"/>
  <c r="Q16" i="24"/>
  <c r="R16" i="24" s="1"/>
  <c r="S16" i="24" s="1"/>
  <c r="AS155" i="17"/>
  <c r="AS22" i="25"/>
  <c r="AX88" i="17"/>
  <c r="Q88" i="24"/>
  <c r="R88" i="24" s="1"/>
  <c r="S88" i="24" s="1"/>
  <c r="AX38" i="17"/>
  <c r="Q38" i="24"/>
  <c r="R38" i="24" s="1"/>
  <c r="S38" i="24" s="1"/>
  <c r="AX58" i="17"/>
  <c r="Q58" i="24"/>
  <c r="R58" i="24" s="1"/>
  <c r="S58" i="24" s="1"/>
  <c r="AX138" i="17"/>
  <c r="Q138" i="24"/>
  <c r="R138" i="24" s="1"/>
  <c r="S138" i="24" s="1"/>
  <c r="Q140" i="24"/>
  <c r="R140" i="24" s="1"/>
  <c r="S140" i="24" s="1"/>
  <c r="AX140" i="17"/>
  <c r="AX126" i="17"/>
  <c r="Q126" i="24"/>
  <c r="R126" i="24" s="1"/>
  <c r="S126" i="24" s="1"/>
  <c r="Q63" i="24"/>
  <c r="R63" i="24" s="1"/>
  <c r="S63" i="24" s="1"/>
  <c r="AX63" i="17"/>
  <c r="Z16" i="25"/>
  <c r="AV22" i="17"/>
  <c r="M22" i="24"/>
  <c r="AX49" i="17"/>
  <c r="Q49" i="24"/>
  <c r="R49" i="24" s="1"/>
  <c r="S49" i="24" s="1"/>
  <c r="AX84" i="17"/>
  <c r="Q84" i="24"/>
  <c r="R84" i="24" s="1"/>
  <c r="S84" i="24" s="1"/>
  <c r="AX78" i="17"/>
  <c r="Q78" i="24"/>
  <c r="R78" i="24" s="1"/>
  <c r="S78" i="24" s="1"/>
  <c r="AX86" i="17"/>
  <c r="Q86" i="24"/>
  <c r="R86" i="24" s="1"/>
  <c r="S86" i="24" s="1"/>
  <c r="Q114" i="24"/>
  <c r="R114" i="24" s="1"/>
  <c r="S114" i="24" s="1"/>
  <c r="AX114" i="17"/>
  <c r="Q117" i="24"/>
  <c r="R117" i="24" s="1"/>
  <c r="S117" i="24" s="1"/>
  <c r="AX117" i="17"/>
  <c r="Q21" i="24"/>
  <c r="R21" i="24" s="1"/>
  <c r="S21" i="24" s="1"/>
  <c r="AX21" i="17"/>
  <c r="Q133" i="24"/>
  <c r="R133" i="24" s="1"/>
  <c r="S133" i="24" s="1"/>
  <c r="AX133" i="17"/>
  <c r="Q123" i="24"/>
  <c r="R123" i="24" s="1"/>
  <c r="S123" i="24" s="1"/>
  <c r="AX123" i="17"/>
  <c r="Q147" i="24"/>
  <c r="R147" i="24" s="1"/>
  <c r="S147" i="24" s="1"/>
  <c r="AX147" i="17"/>
  <c r="AX139" i="17"/>
  <c r="Q139" i="24"/>
  <c r="R139" i="24" s="1"/>
  <c r="S139" i="24" s="1"/>
  <c r="AX11" i="17"/>
  <c r="Q11" i="24"/>
  <c r="R11" i="24" s="1"/>
  <c r="S11" i="24" s="1"/>
  <c r="Q23" i="24"/>
  <c r="R23" i="24" s="1"/>
  <c r="S23" i="24" s="1"/>
  <c r="AX23" i="17"/>
  <c r="Q46" i="24"/>
  <c r="AX46" i="17"/>
  <c r="Q74" i="24"/>
  <c r="R74" i="24" s="1"/>
  <c r="S74" i="24" s="1"/>
  <c r="AX74" i="17"/>
  <c r="AV17" i="17"/>
  <c r="Z6" i="25"/>
  <c r="M17" i="24"/>
  <c r="AX76" i="17"/>
  <c r="Q76" i="24"/>
  <c r="R76" i="24" s="1"/>
  <c r="S76" i="24" s="1"/>
  <c r="Z12" i="25"/>
  <c r="AV41" i="17"/>
  <c r="M41" i="24"/>
  <c r="Q70" i="24"/>
  <c r="R70" i="24" s="1"/>
  <c r="S70" i="24" s="1"/>
  <c r="AX70" i="17"/>
  <c r="U57" i="24"/>
  <c r="V57" i="24" s="1"/>
  <c r="W57" i="24" s="1"/>
  <c r="Q48" i="24"/>
  <c r="R48" i="24" s="1"/>
  <c r="S48" i="24" s="1"/>
  <c r="AX48" i="17"/>
  <c r="Q110" i="24"/>
  <c r="R110" i="24" s="1"/>
  <c r="S110" i="24" s="1"/>
  <c r="AX110" i="17"/>
  <c r="U119" i="24"/>
  <c r="V119" i="24" s="1"/>
  <c r="W119" i="24" s="1"/>
  <c r="AX152" i="17"/>
  <c r="Q152" i="24"/>
  <c r="R152" i="24" s="1"/>
  <c r="S152" i="24" s="1"/>
  <c r="U145" i="24"/>
  <c r="V145" i="24" s="1"/>
  <c r="W145" i="24" s="1"/>
  <c r="AX102" i="17"/>
  <c r="Q102" i="24"/>
  <c r="R102" i="24" s="1"/>
  <c r="S102" i="24" s="1"/>
  <c r="U121" i="24"/>
  <c r="V121" i="24" s="1"/>
  <c r="W121" i="24" s="1"/>
  <c r="AX12" i="17"/>
  <c r="Q12" i="24"/>
  <c r="R12" i="24" s="1"/>
  <c r="S12" i="24" s="1"/>
  <c r="AV20" i="25"/>
  <c r="Q65" i="24"/>
  <c r="AX65" i="17"/>
  <c r="AV14" i="25"/>
  <c r="AX14" i="25" s="1"/>
  <c r="Q52" i="24"/>
  <c r="AX52" i="17"/>
  <c r="U104" i="24"/>
  <c r="V104" i="24" s="1"/>
  <c r="W104" i="24" s="1"/>
  <c r="Z18" i="25"/>
  <c r="AV24" i="17"/>
  <c r="M24" i="24"/>
  <c r="Z21" i="25"/>
  <c r="AV19" i="17"/>
  <c r="M19" i="24"/>
  <c r="Q153" i="24"/>
  <c r="R153" i="24" s="1"/>
  <c r="S153" i="24" s="1"/>
  <c r="AX153" i="17"/>
  <c r="Z8" i="25"/>
  <c r="AV18" i="17"/>
  <c r="M18" i="24"/>
  <c r="U95" i="24"/>
  <c r="V95" i="24" s="1"/>
  <c r="W95" i="24" s="1"/>
  <c r="AX137" i="17"/>
  <c r="Q137" i="24"/>
  <c r="R137" i="24" s="1"/>
  <c r="S137" i="24" s="1"/>
  <c r="Z15" i="25"/>
  <c r="AV8" i="17"/>
  <c r="M8" i="24"/>
  <c r="Q51" i="24"/>
  <c r="R51" i="24" s="1"/>
  <c r="S51" i="24" s="1"/>
  <c r="AX51" i="17"/>
  <c r="AX29" i="17"/>
  <c r="Q29" i="24"/>
  <c r="R29" i="24" s="1"/>
  <c r="S29" i="24" s="1"/>
  <c r="Q100" i="24"/>
  <c r="R100" i="24" s="1"/>
  <c r="S100" i="24" s="1"/>
  <c r="AX100" i="17"/>
  <c r="AX120" i="17"/>
  <c r="Q120" i="24"/>
  <c r="R120" i="24" s="1"/>
  <c r="S120" i="24" s="1"/>
  <c r="AX146" i="17"/>
  <c r="Q146" i="24"/>
  <c r="R146" i="24" s="1"/>
  <c r="S146" i="24" s="1"/>
  <c r="L24" i="25"/>
  <c r="Q69" i="24"/>
  <c r="R69" i="24" s="1"/>
  <c r="S69" i="24" s="1"/>
  <c r="AX69" i="17"/>
  <c r="Q127" i="24"/>
  <c r="R127" i="24" s="1"/>
  <c r="S127" i="24" s="1"/>
  <c r="AX127" i="17"/>
  <c r="AX42" i="17"/>
  <c r="Q42" i="24"/>
  <c r="R42" i="24" s="1"/>
  <c r="S42" i="24" s="1"/>
  <c r="AX66" i="17"/>
  <c r="Q66" i="24"/>
  <c r="R66" i="24" s="1"/>
  <c r="S66" i="24" s="1"/>
  <c r="Q89" i="24"/>
  <c r="R89" i="24" s="1"/>
  <c r="S89" i="24" s="1"/>
  <c r="AX89" i="17"/>
  <c r="AX93" i="17"/>
  <c r="Q93" i="24"/>
  <c r="R93" i="24" s="1"/>
  <c r="S93" i="24" s="1"/>
  <c r="Z10" i="25"/>
  <c r="AV31" i="17"/>
  <c r="M31" i="24"/>
  <c r="Q148" i="24"/>
  <c r="R148" i="24" s="1"/>
  <c r="S148" i="24" s="1"/>
  <c r="AX148" i="17"/>
  <c r="Q80" i="24"/>
  <c r="R80" i="24" s="1"/>
  <c r="S80" i="24" s="1"/>
  <c r="AX80" i="17"/>
  <c r="Z17" i="25"/>
  <c r="AV37" i="17"/>
  <c r="M37" i="24"/>
  <c r="Q112" i="24"/>
  <c r="R112" i="24" s="1"/>
  <c r="S112" i="24" s="1"/>
  <c r="AX112" i="17"/>
  <c r="AX36" i="17"/>
  <c r="Q36" i="24"/>
  <c r="R36" i="24" s="1"/>
  <c r="S36" i="24" s="1"/>
  <c r="AX92" i="17"/>
  <c r="Q92" i="24"/>
  <c r="R92" i="24" s="1"/>
  <c r="S92" i="24" s="1"/>
  <c r="Q45" i="24" l="1"/>
  <c r="R45" i="24" s="1"/>
  <c r="S45" i="24" s="1"/>
  <c r="G45" i="24"/>
  <c r="I45" i="24"/>
  <c r="J45" i="24"/>
  <c r="K45" i="24"/>
  <c r="H45" i="24"/>
  <c r="E45" i="24"/>
  <c r="F45" i="24"/>
  <c r="Y155" i="24"/>
  <c r="F19" i="24"/>
  <c r="F25" i="24"/>
  <c r="F71" i="24"/>
  <c r="F18" i="24"/>
  <c r="F17" i="24"/>
  <c r="F79" i="24"/>
  <c r="I31" i="24"/>
  <c r="J31" i="24"/>
  <c r="K31" i="24"/>
  <c r="G31" i="24"/>
  <c r="H31" i="24"/>
  <c r="E31" i="24"/>
  <c r="K8" i="24"/>
  <c r="I8" i="24"/>
  <c r="J8" i="24"/>
  <c r="H8" i="24"/>
  <c r="G8" i="24"/>
  <c r="E8" i="24"/>
  <c r="K24" i="24"/>
  <c r="J24" i="24"/>
  <c r="I24" i="24"/>
  <c r="G24" i="24"/>
  <c r="H24" i="24"/>
  <c r="E24" i="24"/>
  <c r="AS24" i="25"/>
  <c r="F8" i="24"/>
  <c r="F31" i="24"/>
  <c r="J71" i="24"/>
  <c r="K71" i="24"/>
  <c r="I71" i="24"/>
  <c r="H71" i="24"/>
  <c r="G71" i="24"/>
  <c r="E71" i="24"/>
  <c r="K44" i="24"/>
  <c r="J44" i="24"/>
  <c r="I44" i="24"/>
  <c r="H44" i="24"/>
  <c r="G44" i="24"/>
  <c r="E44" i="24"/>
  <c r="K18" i="24"/>
  <c r="J18" i="24"/>
  <c r="I18" i="24"/>
  <c r="H18" i="24"/>
  <c r="G18" i="24"/>
  <c r="E18" i="24"/>
  <c r="J22" i="24"/>
  <c r="K22" i="24"/>
  <c r="I22" i="24"/>
  <c r="H22" i="24"/>
  <c r="G22" i="24"/>
  <c r="E22" i="24"/>
  <c r="G6" i="24"/>
  <c r="J6" i="24"/>
  <c r="I6" i="24"/>
  <c r="K6" i="24"/>
  <c r="H6" i="24"/>
  <c r="E6" i="24"/>
  <c r="I79" i="24"/>
  <c r="K79" i="24"/>
  <c r="J79" i="24"/>
  <c r="H79" i="24"/>
  <c r="G79" i="24"/>
  <c r="E79" i="24"/>
  <c r="F22" i="24"/>
  <c r="F24" i="24"/>
  <c r="I25" i="24"/>
  <c r="K25" i="24"/>
  <c r="J25" i="24"/>
  <c r="H25" i="24"/>
  <c r="G25" i="24"/>
  <c r="E25" i="24"/>
  <c r="I37" i="24"/>
  <c r="K37" i="24"/>
  <c r="J37" i="24"/>
  <c r="H37" i="24"/>
  <c r="G37" i="24"/>
  <c r="E37" i="24"/>
  <c r="K19" i="24"/>
  <c r="I19" i="24"/>
  <c r="J19" i="24"/>
  <c r="G19" i="24"/>
  <c r="H19" i="24"/>
  <c r="E19" i="24"/>
  <c r="I41" i="24"/>
  <c r="J41" i="24"/>
  <c r="K41" i="24"/>
  <c r="H41" i="24"/>
  <c r="G41" i="24"/>
  <c r="E41" i="24"/>
  <c r="K17" i="24"/>
  <c r="I17" i="24"/>
  <c r="J17" i="24"/>
  <c r="H17" i="24"/>
  <c r="G17" i="24"/>
  <c r="E17" i="24"/>
  <c r="K53" i="24"/>
  <c r="I53" i="24"/>
  <c r="J53" i="24"/>
  <c r="H53" i="24"/>
  <c r="G53" i="24"/>
  <c r="E53" i="24"/>
  <c r="F53" i="24"/>
  <c r="F41" i="24"/>
  <c r="F37" i="24"/>
  <c r="AA6" i="24"/>
  <c r="Z155" i="24"/>
  <c r="AA155" i="24" s="1"/>
  <c r="F6" i="24"/>
  <c r="F44" i="24"/>
  <c r="N71" i="24"/>
  <c r="O87" i="24"/>
  <c r="O151" i="24"/>
  <c r="O46" i="24"/>
  <c r="O70" i="24"/>
  <c r="O134" i="24"/>
  <c r="O55" i="24"/>
  <c r="O54" i="24"/>
  <c r="O42" i="24"/>
  <c r="O142" i="24"/>
  <c r="O139" i="24"/>
  <c r="O36" i="24"/>
  <c r="O129" i="24"/>
  <c r="O97" i="24"/>
  <c r="O49" i="24"/>
  <c r="O141" i="24"/>
  <c r="O98" i="24"/>
  <c r="O56" i="24"/>
  <c r="O86" i="24"/>
  <c r="O105" i="24"/>
  <c r="O40" i="24"/>
  <c r="O117" i="24"/>
  <c r="O77" i="24"/>
  <c r="O93" i="24"/>
  <c r="O69" i="24"/>
  <c r="O90" i="24"/>
  <c r="O115" i="24"/>
  <c r="O125" i="24"/>
  <c r="O80" i="24"/>
  <c r="O27" i="24"/>
  <c r="N31" i="24"/>
  <c r="N22" i="24"/>
  <c r="N8" i="24"/>
  <c r="N18" i="24"/>
  <c r="N17" i="24"/>
  <c r="O153" i="24"/>
  <c r="O140" i="24"/>
  <c r="O33" i="24"/>
  <c r="O60" i="24"/>
  <c r="O51" i="24"/>
  <c r="O72" i="24"/>
  <c r="O118" i="24"/>
  <c r="O58" i="24"/>
  <c r="O26" i="24"/>
  <c r="O144" i="24"/>
  <c r="O94" i="24"/>
  <c r="O9" i="24"/>
  <c r="O63" i="24"/>
  <c r="O16" i="24"/>
  <c r="O48" i="24"/>
  <c r="O102" i="24"/>
  <c r="O112" i="24"/>
  <c r="O14" i="24"/>
  <c r="O59" i="24"/>
  <c r="O76" i="24"/>
  <c r="O121" i="24"/>
  <c r="O103" i="24"/>
  <c r="O75" i="24"/>
  <c r="O62" i="24"/>
  <c r="O39" i="24"/>
  <c r="O126" i="24"/>
  <c r="O88" i="24"/>
  <c r="O132" i="24"/>
  <c r="O23" i="24"/>
  <c r="O143" i="24"/>
  <c r="O114" i="24"/>
  <c r="O138" i="24"/>
  <c r="O74" i="24"/>
  <c r="N24" i="24"/>
  <c r="N19" i="24"/>
  <c r="N41" i="24"/>
  <c r="N25" i="24"/>
  <c r="N44" i="24"/>
  <c r="N53" i="24"/>
  <c r="N79" i="24"/>
  <c r="O106" i="24"/>
  <c r="O68" i="24"/>
  <c r="O152" i="24"/>
  <c r="O32" i="24"/>
  <c r="O34" i="24"/>
  <c r="O20" i="24"/>
  <c r="O154" i="24"/>
  <c r="O89" i="24"/>
  <c r="O127" i="24"/>
  <c r="O110" i="24"/>
  <c r="O146" i="24"/>
  <c r="O21" i="24"/>
  <c r="O101" i="24"/>
  <c r="O28" i="24"/>
  <c r="O100" i="24"/>
  <c r="O99" i="24"/>
  <c r="O150" i="24"/>
  <c r="O66" i="24"/>
  <c r="O135" i="24"/>
  <c r="O109" i="24"/>
  <c r="O116" i="24"/>
  <c r="O43" i="24"/>
  <c r="O64" i="24"/>
  <c r="O120" i="24"/>
  <c r="O123" i="24"/>
  <c r="O148" i="24"/>
  <c r="O113" i="24"/>
  <c r="O29" i="24"/>
  <c r="O67" i="24"/>
  <c r="O108" i="24"/>
  <c r="O107" i="24"/>
  <c r="O12" i="24"/>
  <c r="N37" i="24"/>
  <c r="O84" i="24"/>
  <c r="O38" i="24"/>
  <c r="O35" i="24"/>
  <c r="O96" i="24"/>
  <c r="O11" i="24"/>
  <c r="O92" i="24"/>
  <c r="O73" i="24"/>
  <c r="O50" i="24"/>
  <c r="O47" i="24"/>
  <c r="O147" i="24"/>
  <c r="O61" i="24"/>
  <c r="O15" i="24"/>
  <c r="O81" i="24"/>
  <c r="O83" i="24"/>
  <c r="O124" i="24"/>
  <c r="O65" i="24"/>
  <c r="O13" i="24"/>
  <c r="O10" i="24"/>
  <c r="O133" i="24"/>
  <c r="O91" i="24"/>
  <c r="O82" i="24"/>
  <c r="O85" i="24"/>
  <c r="O78" i="24"/>
  <c r="O52" i="24"/>
  <c r="O131" i="24"/>
  <c r="O122" i="24"/>
  <c r="O137" i="24"/>
  <c r="O128" i="24"/>
  <c r="O136" i="24"/>
  <c r="O111" i="24"/>
  <c r="Y25" i="17"/>
  <c r="Y41" i="17"/>
  <c r="Y17" i="17"/>
  <c r="Y6" i="25" s="1"/>
  <c r="Y53" i="17"/>
  <c r="Y8" i="17"/>
  <c r="Y22" i="17"/>
  <c r="Y45" i="17"/>
  <c r="Y31" i="17"/>
  <c r="Y37" i="17"/>
  <c r="Y18" i="17"/>
  <c r="Y24" i="17"/>
  <c r="Y19" i="17"/>
  <c r="U93" i="24"/>
  <c r="V93" i="24" s="1"/>
  <c r="W93" i="24" s="1"/>
  <c r="AV21" i="25"/>
  <c r="Q19" i="24"/>
  <c r="AX19" i="17"/>
  <c r="U99" i="24"/>
  <c r="V99" i="24" s="1"/>
  <c r="W99" i="24" s="1"/>
  <c r="U134" i="24"/>
  <c r="V134" i="24" s="1"/>
  <c r="W134" i="24" s="1"/>
  <c r="U73" i="24"/>
  <c r="V73" i="24" s="1"/>
  <c r="W73" i="24" s="1"/>
  <c r="U40" i="24"/>
  <c r="V40" i="24" s="1"/>
  <c r="W40" i="24" s="1"/>
  <c r="U68" i="24"/>
  <c r="V68" i="24" s="1"/>
  <c r="W68" i="24" s="1"/>
  <c r="U144" i="24"/>
  <c r="V144" i="24" s="1"/>
  <c r="W144" i="24" s="1"/>
  <c r="U62" i="24"/>
  <c r="V62" i="24" s="1"/>
  <c r="W62" i="24" s="1"/>
  <c r="U23" i="24"/>
  <c r="V23" i="24" s="1"/>
  <c r="W23" i="24" s="1"/>
  <c r="U11" i="24"/>
  <c r="V11" i="24" s="1"/>
  <c r="W11" i="24" s="1"/>
  <c r="U63" i="24"/>
  <c r="V63" i="24" s="1"/>
  <c r="W63" i="24" s="1"/>
  <c r="U122" i="24"/>
  <c r="V122" i="24" s="1"/>
  <c r="W122" i="24" s="1"/>
  <c r="U54" i="24"/>
  <c r="V54" i="24" s="1"/>
  <c r="W54" i="24" s="1"/>
  <c r="R52" i="24"/>
  <c r="BE14" i="25"/>
  <c r="BA20" i="25"/>
  <c r="BC20" i="25"/>
  <c r="BB20" i="25"/>
  <c r="AY20" i="25"/>
  <c r="AZ20" i="25"/>
  <c r="AW20" i="25"/>
  <c r="U86" i="24"/>
  <c r="V86" i="24" s="1"/>
  <c r="W86" i="24" s="1"/>
  <c r="U32" i="24"/>
  <c r="V32" i="24" s="1"/>
  <c r="W32" i="24" s="1"/>
  <c r="U20" i="24"/>
  <c r="V20" i="24" s="1"/>
  <c r="W20" i="24" s="1"/>
  <c r="AV9" i="25"/>
  <c r="AX45" i="17"/>
  <c r="U45" i="24" s="1"/>
  <c r="V45" i="24" s="1"/>
  <c r="W45" i="24" s="1"/>
  <c r="U47" i="24"/>
  <c r="V47" i="24" s="1"/>
  <c r="W47" i="24" s="1"/>
  <c r="U61" i="24"/>
  <c r="V61" i="24" s="1"/>
  <c r="W61" i="24" s="1"/>
  <c r="U101" i="24"/>
  <c r="V101" i="24" s="1"/>
  <c r="W101" i="24" s="1"/>
  <c r="Y71" i="17"/>
  <c r="U39" i="24"/>
  <c r="V39" i="24" s="1"/>
  <c r="W39" i="24" s="1"/>
  <c r="U90" i="24"/>
  <c r="V90" i="24" s="1"/>
  <c r="W90" i="24" s="1"/>
  <c r="U115" i="24"/>
  <c r="V115" i="24" s="1"/>
  <c r="W115" i="24" s="1"/>
  <c r="Y79" i="17"/>
  <c r="U94" i="24"/>
  <c r="V94" i="24" s="1"/>
  <c r="W94" i="24" s="1"/>
  <c r="U59" i="24"/>
  <c r="V59" i="24" s="1"/>
  <c r="W59" i="24" s="1"/>
  <c r="U52" i="24"/>
  <c r="V52" i="24" s="1"/>
  <c r="W52" i="24" s="1"/>
  <c r="BE20" i="25"/>
  <c r="R65" i="24"/>
  <c r="U110" i="24"/>
  <c r="V110" i="24" s="1"/>
  <c r="W110" i="24" s="1"/>
  <c r="U78" i="24"/>
  <c r="V78" i="24" s="1"/>
  <c r="W78" i="24" s="1"/>
  <c r="U138" i="24"/>
  <c r="V138" i="24" s="1"/>
  <c r="W138" i="24" s="1"/>
  <c r="U27" i="24"/>
  <c r="V27" i="24" s="1"/>
  <c r="W27" i="24" s="1"/>
  <c r="U81" i="24"/>
  <c r="V81" i="24" s="1"/>
  <c r="W81" i="24" s="1"/>
  <c r="U143" i="24"/>
  <c r="V143" i="24" s="1"/>
  <c r="W143" i="24" s="1"/>
  <c r="U13" i="24"/>
  <c r="V13" i="24" s="1"/>
  <c r="W13" i="24" s="1"/>
  <c r="AV10" i="25"/>
  <c r="Q31" i="24"/>
  <c r="AX31" i="17"/>
  <c r="U89" i="24"/>
  <c r="V89" i="24" s="1"/>
  <c r="W89" i="24" s="1"/>
  <c r="U146" i="24"/>
  <c r="V146" i="24" s="1"/>
  <c r="W146" i="24" s="1"/>
  <c r="AV12" i="25"/>
  <c r="Q41" i="24"/>
  <c r="AX41" i="17"/>
  <c r="U133" i="24"/>
  <c r="V133" i="24" s="1"/>
  <c r="W133" i="24" s="1"/>
  <c r="U114" i="24"/>
  <c r="V114" i="24" s="1"/>
  <c r="W114" i="24" s="1"/>
  <c r="U84" i="24"/>
  <c r="V84" i="24" s="1"/>
  <c r="W84" i="24" s="1"/>
  <c r="U49" i="24"/>
  <c r="V49" i="24" s="1"/>
  <c r="W49" i="24" s="1"/>
  <c r="U140" i="24"/>
  <c r="V140" i="24" s="1"/>
  <c r="W140" i="24" s="1"/>
  <c r="U88" i="24"/>
  <c r="V88" i="24" s="1"/>
  <c r="W88" i="24" s="1"/>
  <c r="U85" i="24"/>
  <c r="V85" i="24" s="1"/>
  <c r="W85" i="24" s="1"/>
  <c r="U116" i="24"/>
  <c r="V116" i="24" s="1"/>
  <c r="W116" i="24" s="1"/>
  <c r="U43" i="24"/>
  <c r="V43" i="24" s="1"/>
  <c r="W43" i="24" s="1"/>
  <c r="U82" i="24"/>
  <c r="V82" i="24" s="1"/>
  <c r="W82" i="24" s="1"/>
  <c r="AV22" i="25"/>
  <c r="AX22" i="25" s="1"/>
  <c r="AX6" i="17"/>
  <c r="Q6" i="24"/>
  <c r="AV155" i="17"/>
  <c r="U87" i="24"/>
  <c r="V87" i="24" s="1"/>
  <c r="W87" i="24" s="1"/>
  <c r="U91" i="24"/>
  <c r="V91" i="24" s="1"/>
  <c r="W91" i="24" s="1"/>
  <c r="U64" i="24"/>
  <c r="V64" i="24" s="1"/>
  <c r="W64" i="24" s="1"/>
  <c r="U142" i="24"/>
  <c r="V142" i="24" s="1"/>
  <c r="W142" i="24" s="1"/>
  <c r="U128" i="24"/>
  <c r="V128" i="24" s="1"/>
  <c r="W128" i="24" s="1"/>
  <c r="U55" i="24"/>
  <c r="V55" i="24" s="1"/>
  <c r="W55" i="24" s="1"/>
  <c r="Q44" i="24"/>
  <c r="AV7" i="25"/>
  <c r="AX44" i="17"/>
  <c r="U42" i="24"/>
  <c r="V42" i="24" s="1"/>
  <c r="W42" i="24" s="1"/>
  <c r="U69" i="24"/>
  <c r="V69" i="24" s="1"/>
  <c r="W69" i="24" s="1"/>
  <c r="U36" i="24"/>
  <c r="V36" i="24" s="1"/>
  <c r="W36" i="24" s="1"/>
  <c r="U29" i="24"/>
  <c r="V29" i="24" s="1"/>
  <c r="W29" i="24" s="1"/>
  <c r="AY14" i="25"/>
  <c r="BC14" i="25"/>
  <c r="BB14" i="25"/>
  <c r="AZ14" i="25"/>
  <c r="BA14" i="25"/>
  <c r="AW14" i="25"/>
  <c r="Z24" i="25"/>
  <c r="U46" i="24"/>
  <c r="V46" i="24" s="1"/>
  <c r="W46" i="24" s="1"/>
  <c r="U107" i="24"/>
  <c r="V107" i="24" s="1"/>
  <c r="W107" i="24" s="1"/>
  <c r="U154" i="24"/>
  <c r="V154" i="24" s="1"/>
  <c r="W154" i="24" s="1"/>
  <c r="M155" i="24"/>
  <c r="N6" i="24"/>
  <c r="U56" i="24"/>
  <c r="V56" i="24" s="1"/>
  <c r="W56" i="24" s="1"/>
  <c r="U129" i="24"/>
  <c r="V129" i="24" s="1"/>
  <c r="W129" i="24" s="1"/>
  <c r="U67" i="24"/>
  <c r="V67" i="24" s="1"/>
  <c r="W67" i="24" s="1"/>
  <c r="U51" i="24"/>
  <c r="V51" i="24" s="1"/>
  <c r="W51" i="24" s="1"/>
  <c r="U66" i="24"/>
  <c r="V66" i="24" s="1"/>
  <c r="W66" i="24" s="1"/>
  <c r="U127" i="24"/>
  <c r="V127" i="24" s="1"/>
  <c r="W127" i="24" s="1"/>
  <c r="U137" i="24"/>
  <c r="V137" i="24" s="1"/>
  <c r="W137" i="24" s="1"/>
  <c r="AV18" i="25"/>
  <c r="Q24" i="24"/>
  <c r="AX24" i="17"/>
  <c r="U148" i="24"/>
  <c r="V148" i="24" s="1"/>
  <c r="W148" i="24" s="1"/>
  <c r="AV15" i="25"/>
  <c r="Q8" i="24"/>
  <c r="AX8" i="17"/>
  <c r="U102" i="24"/>
  <c r="V102" i="24" s="1"/>
  <c r="W102" i="24" s="1"/>
  <c r="U152" i="24"/>
  <c r="V152" i="24" s="1"/>
  <c r="W152" i="24" s="1"/>
  <c r="U70" i="24"/>
  <c r="V70" i="24" s="1"/>
  <c r="W70" i="24" s="1"/>
  <c r="AV6" i="25"/>
  <c r="Q17" i="24"/>
  <c r="AX17" i="17"/>
  <c r="BE9" i="25"/>
  <c r="R46" i="24"/>
  <c r="U123" i="24"/>
  <c r="V123" i="24" s="1"/>
  <c r="W123" i="24" s="1"/>
  <c r="U106" i="24"/>
  <c r="V106" i="24" s="1"/>
  <c r="W106" i="24" s="1"/>
  <c r="AV11" i="25"/>
  <c r="Q53" i="24"/>
  <c r="AX53" i="17"/>
  <c r="U75" i="24"/>
  <c r="V75" i="24" s="1"/>
  <c r="W75" i="24" s="1"/>
  <c r="U33" i="24"/>
  <c r="V33" i="24" s="1"/>
  <c r="W33" i="24" s="1"/>
  <c r="U98" i="24"/>
  <c r="V98" i="24" s="1"/>
  <c r="W98" i="24" s="1"/>
  <c r="U132" i="24"/>
  <c r="V132" i="24" s="1"/>
  <c r="W132" i="24" s="1"/>
  <c r="U34" i="24"/>
  <c r="V34" i="24" s="1"/>
  <c r="W34" i="24" s="1"/>
  <c r="U103" i="24"/>
  <c r="V103" i="24" s="1"/>
  <c r="W103" i="24" s="1"/>
  <c r="U50" i="24"/>
  <c r="V50" i="24" s="1"/>
  <c r="W50" i="24" s="1"/>
  <c r="Y6" i="17"/>
  <c r="U60" i="24"/>
  <c r="V60" i="24" s="1"/>
  <c r="W60" i="24" s="1"/>
  <c r="U77" i="24"/>
  <c r="V77" i="24" s="1"/>
  <c r="W77" i="24" s="1"/>
  <c r="U105" i="24"/>
  <c r="V105" i="24" s="1"/>
  <c r="W105" i="24" s="1"/>
  <c r="U72" i="24"/>
  <c r="V72" i="24" s="1"/>
  <c r="W72" i="24" s="1"/>
  <c r="U26" i="24"/>
  <c r="V26" i="24" s="1"/>
  <c r="W26" i="24" s="1"/>
  <c r="U108" i="24"/>
  <c r="V108" i="24" s="1"/>
  <c r="W108" i="24" s="1"/>
  <c r="U150" i="24"/>
  <c r="V150" i="24" s="1"/>
  <c r="W150" i="24" s="1"/>
  <c r="U100" i="24"/>
  <c r="V100" i="24" s="1"/>
  <c r="W100" i="24" s="1"/>
  <c r="U153" i="24"/>
  <c r="V153" i="24" s="1"/>
  <c r="W153" i="24" s="1"/>
  <c r="U48" i="24"/>
  <c r="V48" i="24" s="1"/>
  <c r="W48" i="24" s="1"/>
  <c r="U117" i="24"/>
  <c r="V117" i="24" s="1"/>
  <c r="W117" i="24" s="1"/>
  <c r="AX22" i="17"/>
  <c r="AV16" i="25"/>
  <c r="Q22" i="24"/>
  <c r="U58" i="24"/>
  <c r="V58" i="24" s="1"/>
  <c r="W58" i="24" s="1"/>
  <c r="U38" i="24"/>
  <c r="V38" i="24" s="1"/>
  <c r="W38" i="24" s="1"/>
  <c r="U10" i="24"/>
  <c r="V10" i="24" s="1"/>
  <c r="W10" i="24" s="1"/>
  <c r="AV13" i="25"/>
  <c r="Q25" i="24"/>
  <c r="AX25" i="17"/>
  <c r="U96" i="24"/>
  <c r="V96" i="24" s="1"/>
  <c r="W96" i="24" s="1"/>
  <c r="Y30" i="17"/>
  <c r="Y95" i="17"/>
  <c r="Y124" i="17"/>
  <c r="Y57" i="17"/>
  <c r="Y119" i="17"/>
  <c r="Y145" i="17"/>
  <c r="Y7" i="17"/>
  <c r="Y149" i="17"/>
  <c r="Y121" i="17"/>
  <c r="Y104" i="17"/>
  <c r="Y130" i="17"/>
  <c r="Y137" i="17"/>
  <c r="Y21" i="17"/>
  <c r="Y153" i="17"/>
  <c r="Y128" i="17"/>
  <c r="Y118" i="17"/>
  <c r="Y58" i="17"/>
  <c r="Y65" i="17"/>
  <c r="Y94" i="17"/>
  <c r="Y141" i="17"/>
  <c r="Y16" i="17"/>
  <c r="Y59" i="17"/>
  <c r="Y152" i="17"/>
  <c r="Y40" i="17"/>
  <c r="Y111" i="17"/>
  <c r="Y67" i="17"/>
  <c r="Y105" i="17"/>
  <c r="Y123" i="17"/>
  <c r="Y117" i="17"/>
  <c r="Y114" i="17"/>
  <c r="Y78" i="17"/>
  <c r="Y92" i="17"/>
  <c r="Y49" i="17"/>
  <c r="Y38" i="17"/>
  <c r="Y127" i="17"/>
  <c r="Y10" i="17"/>
  <c r="Y69" i="17"/>
  <c r="Y81" i="17"/>
  <c r="Y90" i="17"/>
  <c r="Y120" i="17"/>
  <c r="Y100" i="17"/>
  <c r="Y76" i="17"/>
  <c r="Y70" i="17"/>
  <c r="Y147" i="17"/>
  <c r="Y122" i="17"/>
  <c r="Y74" i="17"/>
  <c r="Y116" i="17"/>
  <c r="Y103" i="17"/>
  <c r="Y61" i="17"/>
  <c r="Y54" i="17"/>
  <c r="Y11" i="25" s="1"/>
  <c r="Y12" i="17"/>
  <c r="Y82" i="17"/>
  <c r="Y33" i="17"/>
  <c r="Y143" i="17"/>
  <c r="Y89" i="17"/>
  <c r="Y102" i="17"/>
  <c r="Y13" i="17"/>
  <c r="Y135" i="17"/>
  <c r="Y110" i="17"/>
  <c r="Y46" i="17"/>
  <c r="Y48" i="17"/>
  <c r="Y32" i="17"/>
  <c r="Y56" i="17"/>
  <c r="Y23" i="17"/>
  <c r="Y136" i="17"/>
  <c r="Y148" i="17"/>
  <c r="Y52" i="17"/>
  <c r="Y134" i="17"/>
  <c r="Y86" i="17"/>
  <c r="Y84" i="17"/>
  <c r="Y91" i="17"/>
  <c r="Y63" i="17"/>
  <c r="Y126" i="17"/>
  <c r="Y140" i="17"/>
  <c r="Y138" i="17"/>
  <c r="Y88" i="17"/>
  <c r="Y15" i="17"/>
  <c r="Y107" i="17"/>
  <c r="Y142" i="17"/>
  <c r="Y27" i="17"/>
  <c r="Y35" i="17"/>
  <c r="Y11" i="17"/>
  <c r="Y99" i="17"/>
  <c r="Y85" i="17"/>
  <c r="Y34" i="17"/>
  <c r="Y139" i="17"/>
  <c r="Y96" i="17"/>
  <c r="Y51" i="17"/>
  <c r="Y20" i="17"/>
  <c r="Y9" i="17"/>
  <c r="Y106" i="17"/>
  <c r="Y154" i="17"/>
  <c r="Y87" i="17"/>
  <c r="Y75" i="17"/>
  <c r="Y64" i="17"/>
  <c r="Y151" i="17"/>
  <c r="Y98" i="17"/>
  <c r="Y47" i="17"/>
  <c r="Y109" i="17"/>
  <c r="Y132" i="17"/>
  <c r="Y146" i="17"/>
  <c r="Y93" i="17"/>
  <c r="Y144" i="17"/>
  <c r="Y29" i="17"/>
  <c r="Y83" i="17"/>
  <c r="Y108" i="17"/>
  <c r="Y115" i="17"/>
  <c r="Y43" i="17"/>
  <c r="Y73" i="17"/>
  <c r="Y150" i="17"/>
  <c r="Y101" i="17"/>
  <c r="Y14" i="17"/>
  <c r="Y50" i="17"/>
  <c r="Y129" i="17"/>
  <c r="Y62" i="17"/>
  <c r="Y28" i="17"/>
  <c r="Y97" i="17"/>
  <c r="Y112" i="17"/>
  <c r="Y80" i="17"/>
  <c r="Y125" i="17"/>
  <c r="Y133" i="17"/>
  <c r="Y55" i="17"/>
  <c r="Y77" i="17"/>
  <c r="Y68" i="17"/>
  <c r="Y72" i="17"/>
  <c r="Y39" i="17"/>
  <c r="Y113" i="17"/>
  <c r="Y131" i="17"/>
  <c r="Y26" i="17"/>
  <c r="Y36" i="17"/>
  <c r="Y66" i="17"/>
  <c r="Y42" i="17"/>
  <c r="Y60" i="17"/>
  <c r="U111" i="24"/>
  <c r="V111" i="24" s="1"/>
  <c r="W111" i="24" s="1"/>
  <c r="U92" i="24"/>
  <c r="V92" i="24" s="1"/>
  <c r="W92" i="24" s="1"/>
  <c r="U112" i="24"/>
  <c r="V112" i="24" s="1"/>
  <c r="W112" i="24" s="1"/>
  <c r="U120" i="24"/>
  <c r="V120" i="24" s="1"/>
  <c r="W120" i="24" s="1"/>
  <c r="U65" i="24"/>
  <c r="V65" i="24" s="1"/>
  <c r="W65" i="24" s="1"/>
  <c r="U12" i="24"/>
  <c r="V12" i="24" s="1"/>
  <c r="W12" i="24" s="1"/>
  <c r="U76" i="24"/>
  <c r="V76" i="24" s="1"/>
  <c r="W76" i="24" s="1"/>
  <c r="U74" i="24"/>
  <c r="V74" i="24" s="1"/>
  <c r="W74" i="24" s="1"/>
  <c r="U139" i="24"/>
  <c r="V139" i="24" s="1"/>
  <c r="W139" i="24" s="1"/>
  <c r="U109" i="24"/>
  <c r="V109" i="24" s="1"/>
  <c r="W109" i="24" s="1"/>
  <c r="U28" i="24"/>
  <c r="V28" i="24" s="1"/>
  <c r="W28" i="24" s="1"/>
  <c r="U15" i="24"/>
  <c r="V15" i="24" s="1"/>
  <c r="W15" i="24" s="1"/>
  <c r="U131" i="24"/>
  <c r="V131" i="24" s="1"/>
  <c r="W131" i="24" s="1"/>
  <c r="U136" i="24"/>
  <c r="V136" i="24" s="1"/>
  <c r="W136" i="24" s="1"/>
  <c r="U118" i="24"/>
  <c r="V118" i="24" s="1"/>
  <c r="W118" i="24" s="1"/>
  <c r="U83" i="24"/>
  <c r="V83" i="24" s="1"/>
  <c r="W83" i="24" s="1"/>
  <c r="U113" i="24"/>
  <c r="V113" i="24" s="1"/>
  <c r="W113" i="24" s="1"/>
  <c r="AV17" i="25"/>
  <c r="Q37" i="24"/>
  <c r="AX37" i="17"/>
  <c r="U80" i="24"/>
  <c r="V80" i="24" s="1"/>
  <c r="W80" i="24" s="1"/>
  <c r="AV8" i="25"/>
  <c r="Q18" i="24"/>
  <c r="AX18" i="17"/>
  <c r="U147" i="24"/>
  <c r="V147" i="24" s="1"/>
  <c r="W147" i="24" s="1"/>
  <c r="U21" i="24"/>
  <c r="V21" i="24" s="1"/>
  <c r="W21" i="24" s="1"/>
  <c r="U126" i="24"/>
  <c r="V126" i="24" s="1"/>
  <c r="W126" i="24" s="1"/>
  <c r="U16" i="24"/>
  <c r="V16" i="24" s="1"/>
  <c r="W16" i="24" s="1"/>
  <c r="U9" i="24"/>
  <c r="V9" i="24" s="1"/>
  <c r="W9" i="24" s="1"/>
  <c r="U141" i="24"/>
  <c r="V141" i="24" s="1"/>
  <c r="W141" i="24" s="1"/>
  <c r="AV19" i="25"/>
  <c r="Q71" i="24"/>
  <c r="AX71" i="17"/>
  <c r="U14" i="24"/>
  <c r="V14" i="24" s="1"/>
  <c r="W14" i="24" s="1"/>
  <c r="U135" i="24"/>
  <c r="V135" i="24" s="1"/>
  <c r="W135" i="24" s="1"/>
  <c r="U35" i="24"/>
  <c r="V35" i="24" s="1"/>
  <c r="W35" i="24" s="1"/>
  <c r="U97" i="24"/>
  <c r="V97" i="24" s="1"/>
  <c r="W97" i="24" s="1"/>
  <c r="U125" i="24"/>
  <c r="V125" i="24" s="1"/>
  <c r="W125" i="24" s="1"/>
  <c r="AX20" i="25"/>
  <c r="Q79" i="24"/>
  <c r="AV23" i="25"/>
  <c r="AX79" i="17"/>
  <c r="U151" i="24"/>
  <c r="V151" i="24" s="1"/>
  <c r="W151" i="24" s="1"/>
  <c r="O53" i="24" l="1"/>
  <c r="O19" i="24"/>
  <c r="O18" i="24"/>
  <c r="O44" i="24"/>
  <c r="O24" i="24"/>
  <c r="O8" i="24"/>
  <c r="O37" i="24"/>
  <c r="O25" i="24"/>
  <c r="O22" i="24"/>
  <c r="O79" i="24"/>
  <c r="O41" i="24"/>
  <c r="O17" i="24"/>
  <c r="O31" i="24"/>
  <c r="O71" i="24"/>
  <c r="F155" i="24"/>
  <c r="Y9" i="25"/>
  <c r="Y12" i="25"/>
  <c r="Y10" i="25"/>
  <c r="Y16" i="25"/>
  <c r="Y17" i="25"/>
  <c r="Y8" i="25"/>
  <c r="Y7" i="25"/>
  <c r="Y15" i="25"/>
  <c r="Y13" i="25"/>
  <c r="Y18" i="25"/>
  <c r="Y21" i="25"/>
  <c r="U18" i="24"/>
  <c r="V18" i="24" s="1"/>
  <c r="W18" i="24" s="1"/>
  <c r="Y20" i="25"/>
  <c r="BC16" i="25"/>
  <c r="AY16" i="25"/>
  <c r="BA16" i="25"/>
  <c r="BB16" i="25"/>
  <c r="AZ16" i="25"/>
  <c r="AW16" i="25"/>
  <c r="AX16" i="25"/>
  <c r="U24" i="24"/>
  <c r="V24" i="24" s="1"/>
  <c r="W24" i="24" s="1"/>
  <c r="BE12" i="25"/>
  <c r="R41" i="24"/>
  <c r="BF14" i="25"/>
  <c r="BG14" i="25" s="1"/>
  <c r="S52" i="24"/>
  <c r="U37" i="24"/>
  <c r="V37" i="24" s="1"/>
  <c r="W37" i="24" s="1"/>
  <c r="U17" i="24"/>
  <c r="V17" i="24" s="1"/>
  <c r="W17" i="24" s="1"/>
  <c r="AZ15" i="25"/>
  <c r="BB15" i="25"/>
  <c r="BC15" i="25"/>
  <c r="BA15" i="25"/>
  <c r="AY15" i="25"/>
  <c r="AW15" i="25"/>
  <c r="AX15" i="25"/>
  <c r="J155" i="24"/>
  <c r="G155" i="24"/>
  <c r="BA24" i="25"/>
  <c r="BC24" i="25"/>
  <c r="K155" i="24"/>
  <c r="BB24" i="25"/>
  <c r="I155" i="24"/>
  <c r="H155" i="24"/>
  <c r="E155" i="24"/>
  <c r="U31" i="24"/>
  <c r="V31" i="24" s="1"/>
  <c r="W31" i="24" s="1"/>
  <c r="R18" i="24"/>
  <c r="BE8" i="25"/>
  <c r="R79" i="24"/>
  <c r="BE23" i="25"/>
  <c r="BE17" i="25"/>
  <c r="R37" i="24"/>
  <c r="U22" i="24"/>
  <c r="V22" i="24" s="1"/>
  <c r="W22" i="24" s="1"/>
  <c r="R17" i="24"/>
  <c r="BE6" i="25"/>
  <c r="Q155" i="24"/>
  <c r="BE22" i="25"/>
  <c r="R6" i="24"/>
  <c r="R31" i="24"/>
  <c r="BE10" i="25"/>
  <c r="Y155" i="17"/>
  <c r="Y22" i="25"/>
  <c r="BE18" i="25"/>
  <c r="R24" i="24"/>
  <c r="U44" i="24"/>
  <c r="V44" i="24" s="1"/>
  <c r="W44" i="24" s="1"/>
  <c r="AX155" i="17"/>
  <c r="U6" i="24"/>
  <c r="BB10" i="25"/>
  <c r="AY10" i="25"/>
  <c r="AZ10" i="25"/>
  <c r="BA10" i="25"/>
  <c r="BC10" i="25"/>
  <c r="AW10" i="25"/>
  <c r="AX10" i="25"/>
  <c r="Y23" i="25"/>
  <c r="R19" i="24"/>
  <c r="BE21" i="25"/>
  <c r="BC17" i="25"/>
  <c r="AY17" i="25"/>
  <c r="BA17" i="25"/>
  <c r="BB17" i="25"/>
  <c r="AZ17" i="25"/>
  <c r="AX17" i="25"/>
  <c r="AW17" i="25"/>
  <c r="U71" i="24"/>
  <c r="V71" i="24" s="1"/>
  <c r="W71" i="24" s="1"/>
  <c r="U25" i="24"/>
  <c r="V25" i="24" s="1"/>
  <c r="W25" i="24" s="1"/>
  <c r="U53" i="24"/>
  <c r="V53" i="24" s="1"/>
  <c r="W53" i="24" s="1"/>
  <c r="AZ18" i="25"/>
  <c r="BC18" i="25"/>
  <c r="BB18" i="25"/>
  <c r="BA18" i="25"/>
  <c r="AY18" i="25"/>
  <c r="AW18" i="25"/>
  <c r="AX18" i="25"/>
  <c r="BB7" i="25"/>
  <c r="BC7" i="25"/>
  <c r="AY7" i="25"/>
  <c r="BA7" i="25"/>
  <c r="AZ7" i="25"/>
  <c r="AW7" i="25"/>
  <c r="AX7" i="25"/>
  <c r="BA22" i="25"/>
  <c r="BB22" i="25"/>
  <c r="AZ22" i="25"/>
  <c r="AY22" i="25"/>
  <c r="BC22" i="25"/>
  <c r="AW22" i="25"/>
  <c r="BB12" i="25"/>
  <c r="AZ12" i="25"/>
  <c r="AY12" i="25"/>
  <c r="BA12" i="25"/>
  <c r="BC12" i="25"/>
  <c r="AW12" i="25"/>
  <c r="AX12" i="25"/>
  <c r="AY21" i="25"/>
  <c r="BC21" i="25"/>
  <c r="AZ21" i="25"/>
  <c r="BB21" i="25"/>
  <c r="BA21" i="25"/>
  <c r="AW21" i="25"/>
  <c r="AX21" i="25"/>
  <c r="U79" i="24"/>
  <c r="V79" i="24" s="1"/>
  <c r="W79" i="24" s="1"/>
  <c r="BE19" i="25"/>
  <c r="R71" i="24"/>
  <c r="AY8" i="25"/>
  <c r="BA8" i="25"/>
  <c r="BC8" i="25"/>
  <c r="BB8" i="25"/>
  <c r="AZ8" i="25"/>
  <c r="AW8" i="25"/>
  <c r="AX8" i="25"/>
  <c r="O6" i="24"/>
  <c r="N155" i="24"/>
  <c r="R44" i="24"/>
  <c r="BE7" i="25"/>
  <c r="BB9" i="25"/>
  <c r="AZ9" i="25"/>
  <c r="BC9" i="25"/>
  <c r="AY9" i="25"/>
  <c r="BA9" i="25"/>
  <c r="AX9" i="25"/>
  <c r="AW9" i="25"/>
  <c r="R25" i="24"/>
  <c r="BE13" i="25"/>
  <c r="BE16" i="25"/>
  <c r="R22" i="24"/>
  <c r="R53" i="24"/>
  <c r="BE11" i="25"/>
  <c r="BA6" i="25"/>
  <c r="BC6" i="25"/>
  <c r="AZ6" i="25"/>
  <c r="BB6" i="25"/>
  <c r="AV24" i="25"/>
  <c r="AY6" i="25"/>
  <c r="AW6" i="25"/>
  <c r="AX6" i="25"/>
  <c r="U8" i="24"/>
  <c r="V8" i="24" s="1"/>
  <c r="W8" i="24" s="1"/>
  <c r="BF20" i="25"/>
  <c r="BG20" i="25" s="1"/>
  <c r="S65" i="24"/>
  <c r="AY23" i="25"/>
  <c r="BA23" i="25"/>
  <c r="AZ23" i="25"/>
  <c r="BB23" i="25"/>
  <c r="BC23" i="25"/>
  <c r="AX23" i="25"/>
  <c r="AW23" i="25"/>
  <c r="AY19" i="25"/>
  <c r="BA19" i="25"/>
  <c r="BB19" i="25"/>
  <c r="BC19" i="25"/>
  <c r="AZ19" i="25"/>
  <c r="AW19" i="25"/>
  <c r="AX19" i="25"/>
  <c r="Y14" i="25"/>
  <c r="BB13" i="25"/>
  <c r="AY13" i="25"/>
  <c r="BA13" i="25"/>
  <c r="BC13" i="25"/>
  <c r="AZ13" i="25"/>
  <c r="AX13" i="25"/>
  <c r="AW13" i="25"/>
  <c r="BA11" i="25"/>
  <c r="AZ11" i="25"/>
  <c r="BB11" i="25"/>
  <c r="BC11" i="25"/>
  <c r="AY11" i="25"/>
  <c r="AW11" i="25"/>
  <c r="AX11" i="25"/>
  <c r="S46" i="24"/>
  <c r="BF9" i="25"/>
  <c r="BG9" i="25" s="1"/>
  <c r="BE15" i="25"/>
  <c r="R8" i="24"/>
  <c r="U41" i="24"/>
  <c r="V41" i="24" s="1"/>
  <c r="W41" i="24" s="1"/>
  <c r="Y19" i="25"/>
  <c r="U19" i="24"/>
  <c r="V19" i="24" s="1"/>
  <c r="W19" i="24" s="1"/>
  <c r="O155" i="24" l="1"/>
  <c r="Y24" i="25"/>
  <c r="AZ24" i="25"/>
  <c r="AY24" i="25"/>
  <c r="AW24" i="25"/>
  <c r="AX24" i="25"/>
  <c r="S53" i="24"/>
  <c r="BF11" i="25"/>
  <c r="BG11" i="25" s="1"/>
  <c r="U155" i="24"/>
  <c r="V6" i="24"/>
  <c r="S6" i="24"/>
  <c r="R155" i="24"/>
  <c r="S155" i="24" s="1"/>
  <c r="BF22" i="25"/>
  <c r="BG22" i="25" s="1"/>
  <c r="S22" i="24"/>
  <c r="BF16" i="25"/>
  <c r="BG16" i="25" s="1"/>
  <c r="S24" i="24"/>
  <c r="BF18" i="25"/>
  <c r="BG18" i="25" s="1"/>
  <c r="BF23" i="25"/>
  <c r="BG23" i="25" s="1"/>
  <c r="S79" i="24"/>
  <c r="BF12" i="25"/>
  <c r="BG12" i="25" s="1"/>
  <c r="S41" i="24"/>
  <c r="S25" i="24"/>
  <c r="BF13" i="25"/>
  <c r="BG13" i="25" s="1"/>
  <c r="BE24" i="25"/>
  <c r="BF8" i="25"/>
  <c r="BG8" i="25" s="1"/>
  <c r="S18" i="24"/>
  <c r="S71" i="24"/>
  <c r="BF19" i="25"/>
  <c r="BG19" i="25" s="1"/>
  <c r="S17" i="24"/>
  <c r="BF6" i="25"/>
  <c r="BF21" i="25"/>
  <c r="BG21" i="25" s="1"/>
  <c r="S19" i="24"/>
  <c r="S8" i="24"/>
  <c r="BF15" i="25"/>
  <c r="BG15" i="25" s="1"/>
  <c r="S44" i="24"/>
  <c r="BF7" i="25"/>
  <c r="BG7" i="25" s="1"/>
  <c r="S31" i="24"/>
  <c r="BF10" i="25"/>
  <c r="BG10" i="25" s="1"/>
  <c r="S37" i="24"/>
  <c r="BF17" i="25"/>
  <c r="BG17" i="25" s="1"/>
  <c r="V155" i="24" l="1"/>
  <c r="W155" i="24" s="1"/>
  <c r="BG6" i="25"/>
  <c r="BF24" i="25"/>
  <c r="BG24" i="25" s="1"/>
  <c r="W6" i="24"/>
</calcChain>
</file>

<file path=xl/comments1.xml><?xml version="1.0" encoding="utf-8"?>
<comments xmlns="http://schemas.openxmlformats.org/spreadsheetml/2006/main">
  <authors>
    <author>Peltola Johannes (OKM)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Peltola Johannes (OKM):</t>
        </r>
        <r>
          <rPr>
            <sz val="9"/>
            <color indexed="81"/>
            <rFont val="Tahoma"/>
            <family val="2"/>
          </rPr>
          <t xml:space="preserve">
Huom. tässä vertaillaan vain varsinaisella suoritepäätöksellä jaettavia osuuksia. Perusrahoituksen myöhemmin varainhoitovuoden aikana jaettavan osan puuttuminen laskee tässä perusrahoituksen osuutta koko varainhoitovuoden vastaaviin lukuihin verrattuna. Siis älä vertaa 70/20/10 jakoon vaan ao. summariviin.</t>
        </r>
      </text>
    </comment>
  </commentList>
</comments>
</file>

<file path=xl/comments2.xml><?xml version="1.0" encoding="utf-8"?>
<comments xmlns="http://schemas.openxmlformats.org/spreadsheetml/2006/main">
  <authors>
    <author>Peltola Johannes (OKM)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Peltola Johannes (OKM):</t>
        </r>
        <r>
          <rPr>
            <sz val="9"/>
            <color indexed="81"/>
            <rFont val="Tahoma"/>
            <family val="2"/>
          </rPr>
          <t xml:space="preserve">
Valos-raportilla profiilikerroin 5 des tarkkuudella. Se ei kuitenkaan täsmää rahoituksen kanssa. Laskennassa käytetty ja käytettävä tarkkoja lukuja. Kopioin vanhasta suoriteraporttiversiosta tähän tarkat profiilikertoimet.</t>
        </r>
      </text>
    </comment>
  </commentList>
</comments>
</file>

<file path=xl/connections.xml><?xml version="1.0" encoding="utf-8"?>
<connections xmlns="http://schemas.openxmlformats.org/spreadsheetml/2006/main">
  <connection id="1" odcFile="C:\Users\03118576\Work Folders\Omat tietolähteet\https___data.vipunen.fi_ AMOS opiskelijavuodet Perspektiivi1.odc" keepAlive="1" name="https___data.vipunen.fi_ AMOS opiskelijavuodet Perspektiivi1" type="5" refreshedVersion="6" background="1">
    <dbPr connection="Provider=MSOLAP.5;Integrated Security=SSPI;Persist Security Info=True;Initial Catalog=AMOS opiskelijavuodet;Data Source=https://data.vipunen.fi/;MDX Compatibility=1;Safety Options=2;MDX Missing Member Mode=Error;Update Isolation Level=2" command="Perspektiivi1" commandType="1"/>
    <olapPr sendLocale="1" rowDrillCount="1000"/>
  </connection>
</connections>
</file>

<file path=xl/sharedStrings.xml><?xml version="1.0" encoding="utf-8"?>
<sst xmlns="http://schemas.openxmlformats.org/spreadsheetml/2006/main" count="4115" uniqueCount="636">
  <si>
    <t>Koulutuksen järjestäjä</t>
  </si>
  <si>
    <t>Perustutkintojen määrä</t>
  </si>
  <si>
    <t>Ammatti- ja erikoisammattitutkintojen määrä</t>
  </si>
  <si>
    <t>Perustutkintojen tutkinnon osien määrä</t>
  </si>
  <si>
    <t>Ammatti- ja erikoisammattitutkintojen tutkinnon osien määrä</t>
  </si>
  <si>
    <t>Perustutkintojen kustannusryhmän ja pohjakoulutuksen mukaan painotetut pisteet</t>
  </si>
  <si>
    <t>Ammatti- ja erikoisammattitutkintojen kustannusryhmän ja pohjakoulutuksen mukaan painotetut pisteet</t>
  </si>
  <si>
    <t>Erityisen tuen mukaan painotetut tutkintojen pisteet</t>
  </si>
  <si>
    <t>Perustutkintojen osien kustannusryhmän mukaan painotetut osaamispisteet</t>
  </si>
  <si>
    <t>Ammatti- ja erikoisammattitutkintojen osien kustannusryhmän mukaan painotetut osaamispisteet</t>
  </si>
  <si>
    <t>Erityisen tuen mukaan painotetut tutkinnon osien osaamispisteet</t>
  </si>
  <si>
    <t>Tutkintojen ja tutkinnon osien painotetut pisteet yhteensä</t>
  </si>
  <si>
    <t/>
  </si>
  <si>
    <t>Tutkintojen määrä</t>
  </si>
  <si>
    <t>Työllistyneet</t>
  </si>
  <si>
    <t>Jatko-opiskelijat</t>
  </si>
  <si>
    <t>Yhteensä</t>
  </si>
  <si>
    <t>Aloittaneet</t>
  </si>
  <si>
    <t>Ahlmanin koulun Säätiö sr</t>
  </si>
  <si>
    <t>Aitoon Emäntäkoulu Oy</t>
  </si>
  <si>
    <t>Ami-säätiö sr</t>
  </si>
  <si>
    <t>Ammattienedistämislaitossäätiö AEL sr</t>
  </si>
  <si>
    <t>Ammattiopisto Spesia Oy</t>
  </si>
  <si>
    <t>Axxell Utbildning Ab</t>
  </si>
  <si>
    <t>Cimson Koulutuspalvelut Oy</t>
  </si>
  <si>
    <t>Espoon seudun koulutuskuntayhtymä Omnia</t>
  </si>
  <si>
    <t>Etelä-Karjalan Koulutuskuntayhtymä</t>
  </si>
  <si>
    <t>Etelä-Savon Koulutus Oy</t>
  </si>
  <si>
    <t>Eurajoen kristillisen opiston kannatusyhdistys r.y.</t>
  </si>
  <si>
    <t>Folkhälsan Utbildning Ab</t>
  </si>
  <si>
    <t>Haapaveden Opiston kannatusyhdistys ry</t>
  </si>
  <si>
    <t>Harjun Oppimiskeskus Oy</t>
  </si>
  <si>
    <t>Helsingin kaupunki</t>
  </si>
  <si>
    <t>Helsingin Konservatorion Säätiö sr</t>
  </si>
  <si>
    <t>Helsinki Business College Oy</t>
  </si>
  <si>
    <t>Hengitysliitto ry</t>
  </si>
  <si>
    <t>Hevosopisto Oy</t>
  </si>
  <si>
    <t>Hyria koulutus Oy</t>
  </si>
  <si>
    <t>Hämeen ammatti-instituutti Oy</t>
  </si>
  <si>
    <t>Invalidisäätiö sr</t>
  </si>
  <si>
    <t>Itä-Karjalan Kansanopistoseura ry</t>
  </si>
  <si>
    <t>Itä-Savon koulutuskuntayhtymä</t>
  </si>
  <si>
    <t>Itä-Suomen Liikuntaopisto Oy</t>
  </si>
  <si>
    <t>Joensuun kaupunki</t>
  </si>
  <si>
    <t>Jokilaaksojen koulutuskuntayhtymä</t>
  </si>
  <si>
    <t>Jollas-Opisto Oy</t>
  </si>
  <si>
    <t>Jyväskylän Koulutuskuntayhtymä</t>
  </si>
  <si>
    <t>Jyväskylän kristillisen opiston säätiö sr</t>
  </si>
  <si>
    <t>Jyväskylän Talouskouluyhdistys r.y.</t>
  </si>
  <si>
    <t>Järviseudun Koulutuskuntayhtymä</t>
  </si>
  <si>
    <t>Kajaanin kaupunki</t>
  </si>
  <si>
    <t>Kanneljärven Kansanopiston kannatusyhdistys r.y.</t>
  </si>
  <si>
    <t>Kansan Sivistystyön Liitto KSL ry</t>
  </si>
  <si>
    <t>Karstulan Evankelisen Kansanopiston kannatusyhdistys ry</t>
  </si>
  <si>
    <t>Kauppiaitten Kauppaoppilaitos Oy</t>
  </si>
  <si>
    <t>Kaustisen Evankelisen Opiston Kannatusyhdistys ry</t>
  </si>
  <si>
    <t>Kellosepäntaidon Edistämissäätiö sr</t>
  </si>
  <si>
    <t>Kemi-Tornionlaakson koulutuskuntayhtymä Lappia</t>
  </si>
  <si>
    <t>Keski-Pohjanmaan Konservatorion Kannatusyhdistys Ry</t>
  </si>
  <si>
    <t>Keski-Pohjanmaan Koulutusyhtymä</t>
  </si>
  <si>
    <t>Keski-Uudenmaan koulutuskuntayhtymä</t>
  </si>
  <si>
    <t>Kiinteistöalan Koulutussäätiö sr</t>
  </si>
  <si>
    <t>Kiipulasäätiö sr</t>
  </si>
  <si>
    <t>Kirkkopalvelut ry</t>
  </si>
  <si>
    <t>Kisakalliosäätiö sr</t>
  </si>
  <si>
    <t>Kiteen Evankelisen Kansanopiston kannatusyhdistys ry</t>
  </si>
  <si>
    <t>Korpisaaren Säätiö sr</t>
  </si>
  <si>
    <t>Kotkan-Haminan seudun koulutuskuntayhtymä</t>
  </si>
  <si>
    <t>Koulutuskeskus Salpaus -kuntayhtymä</t>
  </si>
  <si>
    <t>Koulutuskuntayhtymä Tavastia</t>
  </si>
  <si>
    <t>Kouvolan Aikuiskoulutussäätiö sr</t>
  </si>
  <si>
    <t>Kouvolan kaupunki</t>
  </si>
  <si>
    <t>KSAK Oy</t>
  </si>
  <si>
    <t>Kuopion Konservatorion kannatusyhdistys r.y.</t>
  </si>
  <si>
    <t>Kuopion Talouskoulun kannatusyhdistys r.y.</t>
  </si>
  <si>
    <t>Kuortaneen Urheiluopistosäätiö sr</t>
  </si>
  <si>
    <t>Laajasalon opiston säätiö sr</t>
  </si>
  <si>
    <t>Lahden kansanopiston säätiö sr</t>
  </si>
  <si>
    <t>Lahden Konservatorio Oy</t>
  </si>
  <si>
    <t>Lounais-Hämeen koulutuskuntayhtymä</t>
  </si>
  <si>
    <t>Lounais-Suomen koulutuskuntayhtymä</t>
  </si>
  <si>
    <t>Luksia, Länsi-Uudenmaan koulutuskuntayhtymä</t>
  </si>
  <si>
    <t>Länsirannikon Koulutus Oy</t>
  </si>
  <si>
    <t>Maalariammattikoulun kannatusyhdistys r.y.</t>
  </si>
  <si>
    <t>Management Institute of Finland MIF Oy</t>
  </si>
  <si>
    <t>Markkinointi-instituutin Kannatusyhdistys ry</t>
  </si>
  <si>
    <t>Marttayhdistysten liitto ry</t>
  </si>
  <si>
    <t>Optima samkommun</t>
  </si>
  <si>
    <t>Oulun kaupunki</t>
  </si>
  <si>
    <t>Oulun seudun koulutuskuntayhtymä (OSEKK)</t>
  </si>
  <si>
    <t>Paasikiviopistoyhdistys r.y.</t>
  </si>
  <si>
    <t>Palkansaajien koulutussäätiö sr</t>
  </si>
  <si>
    <t>Palloilu Säätiö sr</t>
  </si>
  <si>
    <t>Peimarin koulutuskuntayhtymä</t>
  </si>
  <si>
    <t>Perho Liiketalousopisto Oy</t>
  </si>
  <si>
    <t>Peräpohjolan Kansanopiston kannatusyhdistys ry</t>
  </si>
  <si>
    <t>Pohjois-Karjalan Koulutuskuntayhtymä</t>
  </si>
  <si>
    <t>Pohjois-Satakunnan Kansanopiston kannatusyhdistys r.y.</t>
  </si>
  <si>
    <t>Pohjois-Savon Kansanopistoseura r.y.</t>
  </si>
  <si>
    <t>Pohjois-Suomen Koulutuskeskussäätiö sr</t>
  </si>
  <si>
    <t>Pop &amp; Jazz Konservatorion Säätiö sr</t>
  </si>
  <si>
    <t>Portaanpää ry</t>
  </si>
  <si>
    <t>Raahen Koulutuskuntayhtymä</t>
  </si>
  <si>
    <t>Raahen Porvari- ja Kauppakoulurahasto sr</t>
  </si>
  <si>
    <t>Raision Seudun Koulutuskuntayhtymä</t>
  </si>
  <si>
    <t>Rakennusteollisuus RT ry</t>
  </si>
  <si>
    <t>Rastor Oy</t>
  </si>
  <si>
    <t>Raudaskylän Kristillinen Opisto r.y.</t>
  </si>
  <si>
    <t>Rovalan Setlementti ry</t>
  </si>
  <si>
    <t>Rovaniemen Koulutuskuntayhtymä</t>
  </si>
  <si>
    <t>Salon Seudun Koulutuskuntayhtymä</t>
  </si>
  <si>
    <t>SASKY koulutuskuntayhtymä</t>
  </si>
  <si>
    <t>Satakunnan koulutuskuntayhtymä</t>
  </si>
  <si>
    <t>Savon Koulutuskuntayhtymä</t>
  </si>
  <si>
    <t>Seinäjoen koulutuskuntayhtymä</t>
  </si>
  <si>
    <t>Suomen Diakoniaopisto - SDO Oy</t>
  </si>
  <si>
    <t>Suomen kansallisooppera ja -baletti sr</t>
  </si>
  <si>
    <t>Suomen Nuoriso-Opiston kannatusyhdistys ry</t>
  </si>
  <si>
    <t>Suomen Urheiluopiston Kannatusosakeyhtiö</t>
  </si>
  <si>
    <t>Suomen ympäristöopisto SYKLI Oy</t>
  </si>
  <si>
    <t>Suomen yrittäjäopiston kannatus Oy</t>
  </si>
  <si>
    <t>Suupohjan Koulutuskuntayhtymä</t>
  </si>
  <si>
    <t>Svenska Framtidsskolan i Helsingforsregionen Ab</t>
  </si>
  <si>
    <t>Svenska Österbottens förbund för Utbildning och Kultur</t>
  </si>
  <si>
    <t>Tampereen Aikuiskoulutussäätiö sr</t>
  </si>
  <si>
    <t>Tampereen kaupunki</t>
  </si>
  <si>
    <t>Tampereen Musiikkiopiston Säätiö sr</t>
  </si>
  <si>
    <t>Tanhuvaaran Säätiö sr</t>
  </si>
  <si>
    <t>Tohtori Matthias Ingmanin säätiö sr</t>
  </si>
  <si>
    <t>Traffica Oy</t>
  </si>
  <si>
    <t>Turun Aikuiskoulutussäätiö sr</t>
  </si>
  <si>
    <t>Turun Ammattiopistosäätiö sr</t>
  </si>
  <si>
    <t>Turun kaupunki</t>
  </si>
  <si>
    <t>Turun Konservatorion kannatusyhdistys - Garantiföreningen för Åbo Konservatorium r.y.</t>
  </si>
  <si>
    <t>Turun kristillisen opiston säätiö sr</t>
  </si>
  <si>
    <t>Työtehoseura ry</t>
  </si>
  <si>
    <t>Vaasan kaupunki</t>
  </si>
  <si>
    <t>Valkeakosken seudun koulutuskuntayhtymä</t>
  </si>
  <si>
    <t>Valkealan Kristillisen Kansanopiston kannatusyhdistys r.y.</t>
  </si>
  <si>
    <t>Valtakunnallinen valmennus- ja liikuntakeskus Oy</t>
  </si>
  <si>
    <t>Vantaan kaupunki</t>
  </si>
  <si>
    <t>Varalan Säätiö sr</t>
  </si>
  <si>
    <t>Ylä-Savon koulutuskuntayhtymä</t>
  </si>
  <si>
    <t>Äänekosken Ammatillisen Koulutuksen kuntayhtymä</t>
  </si>
  <si>
    <t>Koko tutkinnon suorittaneet</t>
  </si>
  <si>
    <t>Tutkinnon osia suorittaneet</t>
  </si>
  <si>
    <t>Fysikaalinen hoitolaitos Arcus Lumio &amp; Pirttimaa</t>
  </si>
  <si>
    <t>KONE Hissit Oy</t>
  </si>
  <si>
    <t>Suomen Luterilainen Evankeliumiyhdistys ry</t>
  </si>
  <si>
    <t>TYA-oppilaitos Oy</t>
  </si>
  <si>
    <t>Kustannusryhmän mukaan painotetut perustutkinnon opiskelijavuodet</t>
  </si>
  <si>
    <t>Kustannusryhmän mukaan painotetut at- ja eat-tutkinnon opiskelijavuodet</t>
  </si>
  <si>
    <t>Kustannusryhmän mukaan painotetut VALMA&amp;TELMA opiskelijavuodet</t>
  </si>
  <si>
    <t>Kustannusryhmän mukaan painotetut opiskelijavalmiuksia tukevat opiskelijavuodet</t>
  </si>
  <si>
    <t>Kustannusryhmän mukaan painotetut muun koulutuksen opiskelijavuodet</t>
  </si>
  <si>
    <t>Erityistuen mukaan painotetut opiskelijavuodet</t>
  </si>
  <si>
    <t>Majoituksen mukaan painotetut opiskelijavuodet</t>
  </si>
  <si>
    <t>Henkilöstökoulutuksen mukaan painotetut opiskelijavuodet</t>
  </si>
  <si>
    <t>Työvoimakoulutuksen mukaan painotetut opiskelijavuodet</t>
  </si>
  <si>
    <t>Vankilakoulutuksen mukaan painotetut opiskelijavuodet</t>
  </si>
  <si>
    <t>Painotetut opiskelijavuodet yhteensä</t>
  </si>
  <si>
    <t>Profiilikerroin</t>
  </si>
  <si>
    <t>Haus Kehittämiskeskus Oy</t>
  </si>
  <si>
    <t>Konecranes Finland Oy</t>
  </si>
  <si>
    <t>Kvarnen samkommun</t>
  </si>
  <si>
    <t>Meyer Turku Oy</t>
  </si>
  <si>
    <t>Reisjärven Kristillinen Kansanopistoyhdistys ry</t>
  </si>
  <si>
    <t>Samkommunen för Yrkesutbildning i Östra Nyland</t>
  </si>
  <si>
    <t>Tampereen Urheiluhierojakoulu Oy</t>
  </si>
  <si>
    <t>Toyota Auto Finland Oy</t>
  </si>
  <si>
    <t>TUL:n Kisakeskussäätiö sr</t>
  </si>
  <si>
    <t>ABB Oy</t>
  </si>
  <si>
    <t>Cargotec Finland Oy</t>
  </si>
  <si>
    <t>Finnair Oyj</t>
  </si>
  <si>
    <t>Nanso Group Oy</t>
  </si>
  <si>
    <t>Rautaruukki Oyj</t>
  </si>
  <si>
    <t>Suomen Ilmailuopisto Oy</t>
  </si>
  <si>
    <t>UPM-Kymmene Oyj</t>
  </si>
  <si>
    <t>Valmet Automotive Oy</t>
  </si>
  <si>
    <t>Vuolle Setlementti ry</t>
  </si>
  <si>
    <t>Wärtsilä Finland Oy</t>
  </si>
  <si>
    <t>Air Navigation Services Finland Oy</t>
  </si>
  <si>
    <t>Lieksan Kristillisen Opiston kannatusyhdistys ry</t>
  </si>
  <si>
    <t>Nokia Oyj</t>
  </si>
  <si>
    <t>Työväen Sivistysliitto TSL ry</t>
  </si>
  <si>
    <t>Järjestämis-luvan opiskelija-vuosien vähimmäis-määrä</t>
  </si>
  <si>
    <t>Suorite-päätöksellä 2019 jaetut opiskelija-vuodet 
(luvan ylittävä osuus)</t>
  </si>
  <si>
    <t>1 Tavoitteellinen opiskelijavuosimäärä 2019</t>
  </si>
  <si>
    <t>2
-josta työvoimakoulutus</t>
  </si>
  <si>
    <t>3
Profiilikerroin</t>
  </si>
  <si>
    <t>4 
Painotetut tavoitteelliset opiskelija-vuodet</t>
  </si>
  <si>
    <t>5 
Kiky-vähennys €</t>
  </si>
  <si>
    <t>6 
Harkinnan-varainen korotus €</t>
  </si>
  <si>
    <t>7 
Perusrahoitus yhteensä €</t>
  </si>
  <si>
    <t>8 
Tutkintojen määrä</t>
  </si>
  <si>
    <t>10 Suoritusrahoitus yhteensä €</t>
  </si>
  <si>
    <t>11 
Rahoitus yhteensä (pl. alv) €</t>
  </si>
  <si>
    <t>12 
Arvonlisävero-korvaus €</t>
  </si>
  <si>
    <t>Ava-instituutin kannatusyhdistys ry</t>
  </si>
  <si>
    <t>Careeria Oy</t>
  </si>
  <si>
    <t>HAUS Kehittämiskeskus Oy</t>
  </si>
  <si>
    <t>Kalajoen Kristillisen Opiston Kannatusyhdistys ry</t>
  </si>
  <si>
    <t xml:space="preserve">Sanoma Oyj </t>
  </si>
  <si>
    <t>Suoritusrahoitus</t>
  </si>
  <si>
    <t>€</t>
  </si>
  <si>
    <t>Alv</t>
  </si>
  <si>
    <t>Strategiarahoitus</t>
  </si>
  <si>
    <t>Harkinnanvarainen perusrahoitus</t>
  </si>
  <si>
    <t>Laskennallinen rahoitus + alv</t>
  </si>
  <si>
    <t xml:space="preserve">Työllistyneet ja jatko-opiskelijat </t>
  </si>
  <si>
    <t>1 Opiskelijavuodet</t>
  </si>
  <si>
    <t>2 Tutkinnot ja tutkinnon osat</t>
  </si>
  <si>
    <t xml:space="preserve">3 Työllistyneet ja jatko-opiskelijat </t>
  </si>
  <si>
    <t>4 Aloittaneet opiskelijapalaute</t>
  </si>
  <si>
    <t>Painotetut opiskelija-vuodet</t>
  </si>
  <si>
    <t>Profiili-kerroin</t>
  </si>
  <si>
    <t>Uusimaa</t>
  </si>
  <si>
    <t>2918298-7</t>
  </si>
  <si>
    <t>Keski-Suomi</t>
  </si>
  <si>
    <t>0208589-6</t>
  </si>
  <si>
    <t>Pohjois-Savo</t>
  </si>
  <si>
    <t>0214765-5</t>
  </si>
  <si>
    <t>Pohjanmaa</t>
  </si>
  <si>
    <t>0773744-3</t>
  </si>
  <si>
    <t>Pohjois-Pohjanmaa</t>
  </si>
  <si>
    <t>0195032-3</t>
  </si>
  <si>
    <t>Kainuu</t>
  </si>
  <si>
    <t>Pirkanmaa</t>
  </si>
  <si>
    <t>0155689-5</t>
  </si>
  <si>
    <t>0124610-9</t>
  </si>
  <si>
    <t>Päijät-Häme</t>
  </si>
  <si>
    <t>1053500-9</t>
  </si>
  <si>
    <t>Varsinais-Suomi</t>
  </si>
  <si>
    <t>0143991-2</t>
  </si>
  <si>
    <t>Kymenlaakso</t>
  </si>
  <si>
    <t>0163408-0</t>
  </si>
  <si>
    <t>0206289-7</t>
  </si>
  <si>
    <t>0209602-6</t>
  </si>
  <si>
    <t>1041090-0</t>
  </si>
  <si>
    <t>0215382-8</t>
  </si>
  <si>
    <t>0202496-2</t>
  </si>
  <si>
    <t>0915313-4</t>
  </si>
  <si>
    <t>0204819-8</t>
  </si>
  <si>
    <t>0276652-8</t>
  </si>
  <si>
    <t>0142247-5</t>
  </si>
  <si>
    <t>0858476-8</t>
  </si>
  <si>
    <t>0172730-8</t>
  </si>
  <si>
    <t>1577184-4</t>
  </si>
  <si>
    <t>1019670-5</t>
  </si>
  <si>
    <t>Etelä-Pohjanmaa</t>
  </si>
  <si>
    <t>Etelä-Savo</t>
  </si>
  <si>
    <t>0166930-4</t>
  </si>
  <si>
    <t>1099221-8</t>
  </si>
  <si>
    <t>0206148-0</t>
  </si>
  <si>
    <t>0211675-2</t>
  </si>
  <si>
    <t>0155651-0</t>
  </si>
  <si>
    <t>0988182-8</t>
  </si>
  <si>
    <t>1648362-5</t>
  </si>
  <si>
    <t>0973712-1</t>
  </si>
  <si>
    <t>0208850-1</t>
  </si>
  <si>
    <t>0681365-1</t>
  </si>
  <si>
    <t>0202512-1</t>
  </si>
  <si>
    <t>0207230-7</t>
  </si>
  <si>
    <t>0242525-6</t>
  </si>
  <si>
    <t>0116936-9</t>
  </si>
  <si>
    <t>Satakunta</t>
  </si>
  <si>
    <t>1728925-0</t>
  </si>
  <si>
    <t>2756786-7</t>
  </si>
  <si>
    <t>1007629-5</t>
  </si>
  <si>
    <t>1852679-9</t>
  </si>
  <si>
    <t>0203929-1</t>
  </si>
  <si>
    <t>0204964-1</t>
  </si>
  <si>
    <t>1524361-1</t>
  </si>
  <si>
    <t>0139545-4</t>
  </si>
  <si>
    <t>Lappi</t>
  </si>
  <si>
    <t>0973110-9</t>
  </si>
  <si>
    <t>0210668-5</t>
  </si>
  <si>
    <t>0210311-8</t>
  </si>
  <si>
    <t>0113276-9</t>
  </si>
  <si>
    <t>0195258-0</t>
  </si>
  <si>
    <t>0215303-5</t>
  </si>
  <si>
    <t>0204427-7</t>
  </si>
  <si>
    <t>0189373-6</t>
  </si>
  <si>
    <t>0210287-9</t>
  </si>
  <si>
    <t>0828475-7</t>
  </si>
  <si>
    <t>0214822-8</t>
  </si>
  <si>
    <t>0280690-5</t>
  </si>
  <si>
    <t>0207972-8</t>
  </si>
  <si>
    <t>0908429-8</t>
  </si>
  <si>
    <t>0193507-8</t>
  </si>
  <si>
    <t>2734201-9</t>
  </si>
  <si>
    <t>0823246-3</t>
  </si>
  <si>
    <t>0153158-3</t>
  </si>
  <si>
    <t>0882817-9</t>
  </si>
  <si>
    <t>0365121-2</t>
  </si>
  <si>
    <t>Pohjois-Karjala</t>
  </si>
  <si>
    <t>0212371-7</t>
  </si>
  <si>
    <t>0992445-3</t>
  </si>
  <si>
    <t>0187690-1</t>
  </si>
  <si>
    <t>0796234-1</t>
  </si>
  <si>
    <t>0201789-3</t>
  </si>
  <si>
    <t>0112038-9</t>
  </si>
  <si>
    <t>0151534-8</t>
  </si>
  <si>
    <t>2460281-5</t>
  </si>
  <si>
    <t>0772017-4</t>
  </si>
  <si>
    <t>0187711-1</t>
  </si>
  <si>
    <t>0201689-0</t>
  </si>
  <si>
    <t>0222804-1</t>
  </si>
  <si>
    <t>0871305-6</t>
  </si>
  <si>
    <t>2245018-4</t>
  </si>
  <si>
    <t>0203167-9</t>
  </si>
  <si>
    <t>0204023-3</t>
  </si>
  <si>
    <t>Kanta-Häme</t>
  </si>
  <si>
    <t>0626288-8</t>
  </si>
  <si>
    <t>0169327-5</t>
  </si>
  <si>
    <t>0149057-4</t>
  </si>
  <si>
    <t>0149666-9</t>
  </si>
  <si>
    <t>0209021-4</t>
  </si>
  <si>
    <t>0213834-5</t>
  </si>
  <si>
    <t>0180124-8</t>
  </si>
  <si>
    <t>0207872-5</t>
  </si>
  <si>
    <t>0207862-9</t>
  </si>
  <si>
    <t>0832600-5</t>
  </si>
  <si>
    <t>Keski-Pohjanmaa</t>
  </si>
  <si>
    <t>0208916-8</t>
  </si>
  <si>
    <t>1943518-6</t>
  </si>
  <si>
    <t>0161075-9</t>
  </si>
  <si>
    <t>0161067-9</t>
  </si>
  <si>
    <t>0205303-4</t>
  </si>
  <si>
    <t>0993644-6</t>
  </si>
  <si>
    <t>1958694-5</t>
  </si>
  <si>
    <t>0536496-2</t>
  </si>
  <si>
    <t>0950895-1</t>
  </si>
  <si>
    <t>1904292-1</t>
  </si>
  <si>
    <t>0207572-7</t>
  </si>
  <si>
    <t>0128756-8</t>
  </si>
  <si>
    <t>0215281-7</t>
  </si>
  <si>
    <t>0147520-0</t>
  </si>
  <si>
    <t>0774302-6</t>
  </si>
  <si>
    <t>2109309-0</t>
  </si>
  <si>
    <t>0101304-9</t>
  </si>
  <si>
    <t>0178980-8</t>
  </si>
  <si>
    <t>0503417-0</t>
  </si>
  <si>
    <t>0208362-0</t>
  </si>
  <si>
    <t>0213502-1</t>
  </si>
  <si>
    <t>0213977-8</t>
  </si>
  <si>
    <t>0209892-9</t>
  </si>
  <si>
    <t>0214958-9</t>
  </si>
  <si>
    <t>1807931-9</t>
  </si>
  <si>
    <t>0208201-1</t>
  </si>
  <si>
    <t>1637771-8</t>
  </si>
  <si>
    <t>0210010-1</t>
  </si>
  <si>
    <t>0242746-2</t>
  </si>
  <si>
    <t>0942165-3</t>
  </si>
  <si>
    <t>1605076-6</t>
  </si>
  <si>
    <t>0167924-6</t>
  </si>
  <si>
    <t>0207390-8</t>
  </si>
  <si>
    <t>0207329-7</t>
  </si>
  <si>
    <t>0201375-3</t>
  </si>
  <si>
    <t>2627679-3</t>
  </si>
  <si>
    <t>2250205-2</t>
  </si>
  <si>
    <t>0200004-7</t>
  </si>
  <si>
    <t>0201252-3</t>
  </si>
  <si>
    <t>0934732-6</t>
  </si>
  <si>
    <t>0201472-1</t>
  </si>
  <si>
    <t>2162576-3</t>
  </si>
  <si>
    <t>0201256-6</t>
  </si>
  <si>
    <t>1778388-1</t>
  </si>
  <si>
    <t>1055483-2</t>
  </si>
  <si>
    <t>0209770-7</t>
  </si>
  <si>
    <t>0734567-7</t>
  </si>
  <si>
    <t>0209492-8</t>
  </si>
  <si>
    <t>2334857-9</t>
  </si>
  <si>
    <t>0108023-3</t>
  </si>
  <si>
    <t>0203717-3</t>
  </si>
  <si>
    <t>2249317-6</t>
  </si>
  <si>
    <t>Etelä-Karjala</t>
  </si>
  <si>
    <t>1027740-9</t>
  </si>
  <si>
    <t>0502454-6</t>
  </si>
  <si>
    <t>2189108-4</t>
  </si>
  <si>
    <t>0986820-1</t>
  </si>
  <si>
    <t>2064886-7</t>
  </si>
  <si>
    <t>0211060-9</t>
  </si>
  <si>
    <t>2767840-1</t>
  </si>
  <si>
    <t>2811092-2</t>
  </si>
  <si>
    <t>0150951-1</t>
  </si>
  <si>
    <t>0155402-1</t>
  </si>
  <si>
    <t>0763403-0</t>
  </si>
  <si>
    <t>Nimi</t>
  </si>
  <si>
    <t>Y-tunnus</t>
  </si>
  <si>
    <t>KOULUTUKSEN JÄRJESTÄJÄ</t>
  </si>
  <si>
    <t>kuntayhtymä</t>
  </si>
  <si>
    <t>yksityinen</t>
  </si>
  <si>
    <t>kunta</t>
  </si>
  <si>
    <t>Vaikuttavuusrahoitus</t>
  </si>
  <si>
    <t>5 Päättäneet  opiskelijapalaute</t>
  </si>
  <si>
    <t>Opiskelijapalaute</t>
  </si>
  <si>
    <t>Päättäneet</t>
  </si>
  <si>
    <t>Omistajatyyppi</t>
  </si>
  <si>
    <t>Maakunta</t>
  </si>
  <si>
    <t>Suoritus-rahoitus</t>
  </si>
  <si>
    <t>Vaikuttavuus-rahoitus yhteensä</t>
  </si>
  <si>
    <t>-josta työllistyneet ja jatko-opiskelijat</t>
  </si>
  <si>
    <t>-josta aloittaneet opiskelija-palaute</t>
  </si>
  <si>
    <t>-josta päättäneet opiskelija-palaute</t>
  </si>
  <si>
    <t>Perusrahoitus yht.</t>
  </si>
  <si>
    <t>Perus-rahoituksesta</t>
  </si>
  <si>
    <t>Vaikuttavuus-rahoituksesta</t>
  </si>
  <si>
    <t>Opiskelija-palaute-osuudesta</t>
  </si>
  <si>
    <t>Laskennalli-sesta</t>
  </si>
  <si>
    <t>Kaikesta 
(pl. alv)</t>
  </si>
  <si>
    <t>6 Lask.rah.yht. pl. hark.</t>
  </si>
  <si>
    <t>Summa</t>
  </si>
  <si>
    <t>Kunta</t>
  </si>
  <si>
    <t>Yksityinen</t>
  </si>
  <si>
    <t>Järjestäjien kokonais-määrä</t>
  </si>
  <si>
    <t>Kunta-yhtymä</t>
  </si>
  <si>
    <t>Kaikki summat pl. alv sekä myöhemmin varainhoitovuonna jaettava osa</t>
  </si>
  <si>
    <t>Painottamattomat opiskelijavuodet yhteensä</t>
  </si>
  <si>
    <t>Painottamattomat opiskelijavuodet (pl. muu koulutus)</t>
  </si>
  <si>
    <t>Muun koulutuksen painottamattomat opiskelijavuodet</t>
  </si>
  <si>
    <t>Huom. osa järjestäjistä toimii usealla maakunnalla, joten jaottelu on vain suuntaa antava</t>
  </si>
  <si>
    <t>Tutkintojen painotetut pisteet yhteensä</t>
  </si>
  <si>
    <t>Tutkinnon osien painotetut osaamispisteet yhteensä</t>
  </si>
  <si>
    <t>Varainhoitovuoden jakovara ja oikaisuvähennys (-)</t>
  </si>
  <si>
    <t>Perusrahoitus yhteensä</t>
  </si>
  <si>
    <t>Suoritusrahoitus yhteensä</t>
  </si>
  <si>
    <t>Vaikuttavuusrahoitus yhteensä</t>
  </si>
  <si>
    <t>Suoritusrahoitus, €</t>
  </si>
  <si>
    <t>Työllistymiseen ja jatko-opintoihin siirtymiseen perustuva sekä opiskelija-palautteisiin perustuva, €</t>
  </si>
  <si>
    <t>Perus-, suoritus- ja vaikuttavuusrahoitus yhteensä, €</t>
  </si>
  <si>
    <t>0188756-3</t>
  </si>
  <si>
    <t>Kainuun Opisto Oy</t>
  </si>
  <si>
    <t>Alv-korvaus, €</t>
  </si>
  <si>
    <t>Koko rahoitus + 
alv-korvaus, €</t>
  </si>
  <si>
    <t>Opintotoiminnan Keskusliitto ry, Centralförbundet för Studieverksamhet rf</t>
  </si>
  <si>
    <t>Järjestämisluvan opisk.vuosien vähimmäismäärä</t>
  </si>
  <si>
    <t>Kieli</t>
  </si>
  <si>
    <t>suomenkielinen</t>
  </si>
  <si>
    <t>ruotsinkielinen</t>
  </si>
  <si>
    <t>kaksikielinen (s)</t>
  </si>
  <si>
    <t>Rahoitus pl. hark. kor. 2020 ilman alv, €</t>
  </si>
  <si>
    <t>Rahoitukseen hyväksytyt painotetut osaamispisteet</t>
  </si>
  <si>
    <t>Tutkintojen ja tutkinnon osien painotetut pisteet, järj. %-osuus</t>
  </si>
  <si>
    <t>3008326-5</t>
  </si>
  <si>
    <t>AEL-Amiedu Oy</t>
  </si>
  <si>
    <t>2962876-6</t>
  </si>
  <si>
    <t>Turun musiikinopetus Oy</t>
  </si>
  <si>
    <t>0116354-9X</t>
  </si>
  <si>
    <t>0213612-0X</t>
  </si>
  <si>
    <t>0201689-0X</t>
  </si>
  <si>
    <t>0114371-6X</t>
  </si>
  <si>
    <t>0214081-6X</t>
  </si>
  <si>
    <t>1648362-5X</t>
  </si>
  <si>
    <t>0204843-8X</t>
  </si>
  <si>
    <t>Vuoden 2019 ensikertaisen suoritepäätöksen tavoitteelliset opiskelijavuodet ja harkinnanvaraiset korotukset</t>
  </si>
  <si>
    <t>Kotimaakunta</t>
  </si>
  <si>
    <t>Perusrahoitus ilman harkinnan-varaista korotusta €</t>
  </si>
  <si>
    <t>9 
Tutkinnoista kertyvät suorituspisteet</t>
  </si>
  <si>
    <t>Fria Kristliga Folkhögskolföreningen FKF rf</t>
  </si>
  <si>
    <t>poikkeava kaava</t>
  </si>
  <si>
    <t xml:space="preserve"> Y-tunnus</t>
  </si>
  <si>
    <t>Painotetut
tavoitteelliset
opiskelijavuodet</t>
  </si>
  <si>
    <t>Perusrahoitus
yhteensä, €</t>
  </si>
  <si>
    <t>Tutkintojen
määrä</t>
  </si>
  <si>
    <t>Tutkintojen painotetut
pisteet</t>
  </si>
  <si>
    <t>Tutkinnon osien osaamispisteet</t>
  </si>
  <si>
    <t>Tutkinnon osien painotetut osaamispisteet</t>
  </si>
  <si>
    <t>Työllistyneet ja jatko-opintoihin siirtyneet</t>
  </si>
  <si>
    <t>Työllistyneet ja jatko-opintoihin siirtyneet, painotetut pisteet</t>
  </si>
  <si>
    <t>Työllistyneet ja jatko-opintoihin siirtyneet, €</t>
  </si>
  <si>
    <t>Opiskelunsa aloittaneiden palautteen pisteet</t>
  </si>
  <si>
    <t>Opiskelunsa aloittaneiden palautteen painotetut pisteet</t>
  </si>
  <si>
    <t>Opiskelunsa päättäneiden palautteen pisteet</t>
  </si>
  <si>
    <t>Opiskelunsa päättäneiden palautteen painotetut pisteet</t>
  </si>
  <si>
    <t>Laskennallinen rahoitus
yhteensä
(pl. alv), €</t>
  </si>
  <si>
    <t>Arvonlisäverokorvaus, €</t>
  </si>
  <si>
    <t>-josta työvoima-koulutus</t>
  </si>
  <si>
    <t>Raportti yhteensä</t>
  </si>
  <si>
    <t>Harkinnan-varainen
korotus, €</t>
  </si>
  <si>
    <t>Tavoitteellinen
opiskelija-vuosimäärä</t>
  </si>
  <si>
    <t>Suoritus-rahoitus
yhteensä, €</t>
  </si>
  <si>
    <t>Opiskelunsa aloittaneiden opiskelija-palaute, €</t>
  </si>
  <si>
    <t>Opiskelunsa päättäneiden opiskelija-palaute, €</t>
  </si>
  <si>
    <t>Vaikuttavuus-rahoitus
yhteensä, €</t>
  </si>
  <si>
    <t>Kyselyn kohteet (Rahoitus)</t>
  </si>
  <si>
    <t>Vastanneet (Rahoitus)</t>
  </si>
  <si>
    <t>Vastausosuus (Rahoitus)</t>
  </si>
  <si>
    <t>Korjauskerroin (Rahoitus)</t>
  </si>
  <si>
    <t>Keskiarvo (Rahoitus)</t>
  </si>
  <si>
    <t>Keskihajonta (Rahoitus)</t>
  </si>
  <si>
    <t>Pisteet (Rahoitus)</t>
  </si>
  <si>
    <t>Painotetut pisteet (Rahoitus)</t>
  </si>
  <si>
    <t>Painotetut pisteet % (Rahoitus)</t>
  </si>
  <si>
    <t>Yhteensä Kyselyn kohteet (Rahoitus)</t>
  </si>
  <si>
    <t>Yhteensä Vastanneet (Rahoitus)</t>
  </si>
  <si>
    <t>Yhteensä Vastausosuus (Rahoitus)</t>
  </si>
  <si>
    <t>Yhteensä Keskiarvo (Rahoitus)</t>
  </si>
  <si>
    <t>Yhteensä Keskihajonta (Rahoitus)</t>
  </si>
  <si>
    <t>Yhteensä Pisteet (Rahoitus)</t>
  </si>
  <si>
    <t>-josta opettajien ja ohjaajien palkkaamiseen sekä tukitoimiin myönnettävä lisärahoitus</t>
  </si>
  <si>
    <t>-josta muu varainhoitovuodelle jätettävä rahoitus</t>
  </si>
  <si>
    <r>
      <t xml:space="preserve">LASKENNALLINEN RAHOITUS YHTEENSÄ
</t>
    </r>
    <r>
      <rPr>
        <sz val="10"/>
        <rFont val="Calibri"/>
        <family val="2"/>
        <scheme val="minor"/>
      </rPr>
      <t>(pl. perusrahoituksen myöhemmin varainhoitovuoden aikana jaettava osa)</t>
    </r>
  </si>
  <si>
    <t>Suoriteperusteinen (opiskelijavuosiin perustuva) sekä harkinnanvarainen korotus, €</t>
  </si>
  <si>
    <t>LASKENNALLINEN RAHOITUS YHTEENSÄ + ALV</t>
  </si>
  <si>
    <t>ARVONLISÄVEROKORVAUS</t>
  </si>
  <si>
    <t>Kaikki summat pl. myöhemmin varainhoitovuonna jaettava osa</t>
  </si>
  <si>
    <t>Varsinaisella suoritepäätöksellä jaettava lask. rahoitus yhteensä</t>
  </si>
  <si>
    <t>Perusrahoitus</t>
  </si>
  <si>
    <t>Suorite-perusteinen perusrahoitus (pl. hark. kor.)</t>
  </si>
  <si>
    <t>Perusrahoitus yhteensä (ml. hark. kor.)</t>
  </si>
  <si>
    <t>Rahoitus ml. hark. kor. 
2020 ilman alv, €</t>
  </si>
  <si>
    <t>Rahoitus ml. hark. kor. + alv 2020, €</t>
  </si>
  <si>
    <t>Varsinaisella suoritepäätöksellä jaettava rahoitus (pl. alv)</t>
  </si>
  <si>
    <t>Varsinaisella suoritepäätöksellä jaettava suoriteperusteinen rahoitus (pl. alv.)</t>
  </si>
  <si>
    <t>linkki Vipunen-portaaliin:</t>
  </si>
  <si>
    <t>https://vipunen.fi/fi-fi/_layouts/15/xlviewer.aspx?id=/fi-fi/Raportit/Koski%20opiskelijavuodet.xlsb</t>
  </si>
  <si>
    <t>https://vipunen.fi/fi-fi/_layouts/15/xlviewer.aspx?id=/fi-fi/Raportit/Koski%20tutkinnot%20ja%20tutkinnon%20osat%20painotetut.xlsb</t>
  </si>
  <si>
    <t>https://vipunen.fi/fi-fi/_layouts/15/xlviewer.aspx?id=/fi-fi/Raportit/Rahoitusperusteraportti%20(ty%C3%B6llistyneet%20ja%20jatko-opiskelijat).xlsb</t>
  </si>
  <si>
    <t>https://vipunen.fi/fi-fi/_layouts/15/xlviewer.aspx?id=/fi-fi/Raportit/Ammatillinen%20koulutus%20-%20opiskelijapalaute%20-%20rahoitusmalli%20-%20aloituskysely.xlsb</t>
  </si>
  <si>
    <t>https://vipunen.fi/fi-fi/_layouts/15/xlviewer.aspx?id=/fi-fi/Raportit/Ammatillinenkoulutus%20-%20opiskelijapalaute%20-%20rahoitusmalli-%20p%C3%A4ttt%C3%B6kysely.xlsb</t>
  </si>
  <si>
    <t>1 Erityisen kalliin koulutuksen järjestämiseen</t>
  </si>
  <si>
    <t>PERUSRAHOITUKSEN HARKINNANVARAINEN KOROTUS</t>
  </si>
  <si>
    <t>Suoritepäätöksellä jaettavat opisk.vuodet (luvan ylittävä osuus)</t>
  </si>
  <si>
    <t>Suomen Yrittäjäopisto Oy</t>
  </si>
  <si>
    <t>Keski-Pohjanmaan Konservatorion Kannatusyhdistys ry</t>
  </si>
  <si>
    <t>AMMATILLISEN KOULUTUKSEN VUODEN 2020 VARSINAISEN SUORITEPÄÄTÖKSEN LIITERAPORTTI</t>
  </si>
  <si>
    <t>Ammatillisen koulutuksen vuoden 2020 varsinaisen suoritepäätöksen liiteraportti (liite 1)</t>
  </si>
  <si>
    <t>Jakotaulu, varsinainen suoritepäätös</t>
  </si>
  <si>
    <t>Rastor-instituutti ry</t>
  </si>
  <si>
    <t>Koulutuskuntayhtymä OSAO</t>
  </si>
  <si>
    <t>Jyväskylän koulutuskuntayhtymä Gradia</t>
  </si>
  <si>
    <t>Mercuria kauppaoppilaitos Oy</t>
  </si>
  <si>
    <t>Työllistyneet ja jatko-opiskelijat</t>
  </si>
  <si>
    <t>Painotetut pisteet, työllistyneet</t>
  </si>
  <si>
    <t>Painotetut pisteet, jatko-opiskelijat</t>
  </si>
  <si>
    <t>Painotetut pisteet yhteensä</t>
  </si>
  <si>
    <t>Työllisten ja opiskelijoiden painotetut pisteet %-osuus järjestäjittäin</t>
  </si>
  <si>
    <t>Oppivelvollisuuden mukaan painotetut opiskelijavuodet</t>
  </si>
  <si>
    <t>Erityistuen hyväksytyt painotetut opiskelijavuodet</t>
  </si>
  <si>
    <t>Majoituksen hyväksytyt painotetut opiskelijavuodet</t>
  </si>
  <si>
    <t>Yhteensä Korjauskerroin (Rahoitus)</t>
  </si>
  <si>
    <t>Yhteensä Painotetut pisteet (Rahoitus)</t>
  </si>
  <si>
    <t>Yhteensä Painotetut pisteet % (Rahoitus)</t>
  </si>
  <si>
    <t>Rahoitus pl. hark. kor. 2021 ilman alv, €</t>
  </si>
  <si>
    <t>Rahoituksen muutos vuodesta 2020 vuoteen 2021 (pl. hark. kor.)</t>
  </si>
  <si>
    <t>Rahoitus ml. hark. kor. 
2021 ilman alv, €</t>
  </si>
  <si>
    <r>
      <t xml:space="preserve">KOULUTUKSEN JÄRJESTÄJÄ
</t>
    </r>
    <r>
      <rPr>
        <sz val="10"/>
        <color theme="1"/>
        <rFont val="Calibri"/>
        <family val="2"/>
        <scheme val="minor"/>
      </rPr>
      <t>(mukana koulutuksen järjestäjät joilla järjestämislupa 1.1.2021 lukien)</t>
    </r>
  </si>
  <si>
    <t>5 Yksittäisen koulutuksen turvaamiseksi</t>
  </si>
  <si>
    <t>7 Työpaikkaohjaajien koulutuksen lisäämiseen ja kehittämiseen</t>
  </si>
  <si>
    <t>8 Urheilijoiden ammatillisen koulutuksen tukemiseen</t>
  </si>
  <si>
    <t>9 Harkinnanvarainen korotus yhteensä</t>
  </si>
  <si>
    <t>2 Rahoituksen määräytymisper. muutoksen perusteella</t>
  </si>
  <si>
    <t>3 Järjestämisluvan vähimmäismäärän tarkistuksen perusteella (tavoitteellisten opiskelijavuosien vähentämisestä johtuvan rahoituksen kohtuuttoman suuren
muutoksen kompensointiin)</t>
  </si>
  <si>
    <t>4 Oppivelvollisuuden laajentamisen perusteella</t>
  </si>
  <si>
    <t>Rahoituksen muutos vuodesta 2020 vuoteen 2021 (ml. hark. kor.)</t>
  </si>
  <si>
    <t>Rahoituksen muutos vuodesta 2020 vuoteen 2021 (ml. hark. kor.) + alv-korvaus</t>
  </si>
  <si>
    <t>VERTAILU VUODEN 2020 VARSINAISEN SUORITEPÄÄTÖKSEN RAHOITUKSEEN
Rahoitusosuuksittain</t>
  </si>
  <si>
    <t>Perusrahoituksen muutos vuodesta 2020 vuoteen 2021</t>
  </si>
  <si>
    <t>Perusrahoitus 2020, €</t>
  </si>
  <si>
    <t>Perusrahoituksen muutos, €</t>
  </si>
  <si>
    <t>Perusrahoitus 2021, €</t>
  </si>
  <si>
    <t>Suoritusrahoituksen muutos vuodesta 2020 vuoteen 2021</t>
  </si>
  <si>
    <t>Suoritusrahoitus 2020, €</t>
  </si>
  <si>
    <t>Suoritusrahoitus 2021, €</t>
  </si>
  <si>
    <t>Suoritusrahoituksen muutos, €</t>
  </si>
  <si>
    <t>Suoritusrahoituksen muutos, %</t>
  </si>
  <si>
    <t>Perusrahoituksen muutos, %</t>
  </si>
  <si>
    <t>Vaikuttavuusrahoitus 2020, €</t>
  </si>
  <si>
    <t>Vaikuttavuusrahoitus 2021, €</t>
  </si>
  <si>
    <t>Vaikuttavuusrahoituksen muutos, €</t>
  </si>
  <si>
    <t>Vaikuttavuusrahoituksen muutos, %</t>
  </si>
  <si>
    <t>Rahoitus ml. hark. kor. + alv 2021, €</t>
  </si>
  <si>
    <t>Vaikuttavuusrahoituksen muutos vuodesta 2020 vuoteen 2021</t>
  </si>
  <si>
    <t>Tavoitteelliset opiskelija-vuodet</t>
  </si>
  <si>
    <t>Ammatillisen koulutuksen rahoitus + alv-kompensaatio</t>
  </si>
  <si>
    <t>Ammatillisen koulutuksen rahoitus</t>
  </si>
  <si>
    <t>Laskennallinen rahoitus</t>
  </si>
  <si>
    <t>Laskennallinen rahoitus pl. harkinnanvaraisena korotuksena myönnettävä määräaikainen lisämääräraha
(suoritus- ja vaikuttavuusrahoituksen ulkopuolinen osuus laskennallisesta rahoituksesta)</t>
  </si>
  <si>
    <t>Suoriteperusteinen perusrahoitus (ennen varainhoitovuoden jakovara- ja oikaisuvähennystä)</t>
  </si>
  <si>
    <t>Suoriteperusteinen perusrahoitus (jakovara- ja oikaisuvähennyksen jälkeen)</t>
  </si>
  <si>
    <t>Työelämäpalaute (osana vaikuttavuusrahoitusta vuodesta 2023 alkaen)</t>
  </si>
  <si>
    <t>SUMMALUKUJA MAAKUNNITTAIN KOULUTUKSEN JÄRJESTÄJIEN KOTIPAIKKAKUNNAN MUKAISESTI</t>
  </si>
  <si>
    <t>Jakotaulun lukuja voi muokata keltaisella pohjalla olevien euromäärien ja rahoitusosuuksien kautta. Muut solut määräytyvät niiden perusteella.</t>
  </si>
  <si>
    <r>
      <t>Jaettava €</t>
    </r>
    <r>
      <rPr>
        <sz val="10"/>
        <color theme="4" tint="0.59999389629810485"/>
        <rFont val="Calibri"/>
        <family val="2"/>
        <scheme val="minor"/>
      </rPr>
      <t xml:space="preserve"> 1</t>
    </r>
  </si>
  <si>
    <r>
      <t>%-osuus</t>
    </r>
    <r>
      <rPr>
        <sz val="10"/>
        <color theme="4" tint="0.59999389629810485"/>
        <rFont val="Calibri"/>
        <family val="2"/>
        <scheme val="minor"/>
      </rPr>
      <t xml:space="preserve"> 1</t>
    </r>
  </si>
  <si>
    <r>
      <t>Painotetut pisteet</t>
    </r>
    <r>
      <rPr>
        <sz val="10"/>
        <color theme="4" tint="0.59999389629810485"/>
        <rFont val="Calibri"/>
        <family val="2"/>
        <scheme val="minor"/>
      </rPr>
      <t xml:space="preserve"> 2</t>
    </r>
  </si>
  <si>
    <r>
      <t>%-osuus</t>
    </r>
    <r>
      <rPr>
        <sz val="10"/>
        <color theme="4" tint="0.59999389629810485"/>
        <rFont val="Calibri"/>
        <family val="2"/>
        <scheme val="minor"/>
      </rPr>
      <t xml:space="preserve"> 2</t>
    </r>
  </si>
  <si>
    <r>
      <t>Jaettava €</t>
    </r>
    <r>
      <rPr>
        <sz val="10"/>
        <color theme="4" tint="0.59999389629810485"/>
        <rFont val="Calibri"/>
        <family val="2"/>
        <scheme val="minor"/>
      </rPr>
      <t xml:space="preserve"> 2</t>
    </r>
  </si>
  <si>
    <r>
      <t>Painotetut pisteet</t>
    </r>
    <r>
      <rPr>
        <sz val="10"/>
        <color theme="4" tint="0.59999389629810485"/>
        <rFont val="Calibri"/>
        <family val="2"/>
        <scheme val="minor"/>
      </rPr>
      <t xml:space="preserve"> 3</t>
    </r>
  </si>
  <si>
    <r>
      <t>%-osuus</t>
    </r>
    <r>
      <rPr>
        <sz val="10"/>
        <color theme="4" tint="0.59999389629810485"/>
        <rFont val="Calibri"/>
        <family val="2"/>
        <scheme val="minor"/>
      </rPr>
      <t xml:space="preserve"> 3</t>
    </r>
  </si>
  <si>
    <r>
      <t>Jaettava €</t>
    </r>
    <r>
      <rPr>
        <sz val="10"/>
        <color theme="4" tint="0.59999389629810485"/>
        <rFont val="Calibri"/>
        <family val="2"/>
        <scheme val="minor"/>
      </rPr>
      <t xml:space="preserve"> 3</t>
    </r>
  </si>
  <si>
    <r>
      <t>Painotetut pisteet</t>
    </r>
    <r>
      <rPr>
        <sz val="10"/>
        <color theme="4" tint="0.59999389629810485"/>
        <rFont val="Calibri"/>
        <family val="2"/>
        <scheme val="minor"/>
      </rPr>
      <t xml:space="preserve"> 4</t>
    </r>
  </si>
  <si>
    <r>
      <t>%-osuus</t>
    </r>
    <r>
      <rPr>
        <sz val="10"/>
        <color theme="4" tint="0.59999389629810485"/>
        <rFont val="Calibri"/>
        <family val="2"/>
        <scheme val="minor"/>
      </rPr>
      <t xml:space="preserve"> 4</t>
    </r>
  </si>
  <si>
    <r>
      <t>Jaettava €</t>
    </r>
    <r>
      <rPr>
        <sz val="10"/>
        <color theme="4" tint="0.59999389629810485"/>
        <rFont val="Calibri"/>
        <family val="2"/>
        <scheme val="minor"/>
      </rPr>
      <t xml:space="preserve"> 4</t>
    </r>
  </si>
  <si>
    <r>
      <t>Painotetut pisteet</t>
    </r>
    <r>
      <rPr>
        <sz val="10"/>
        <color theme="4" tint="0.59999389629810485"/>
        <rFont val="Calibri"/>
        <family val="2"/>
        <scheme val="minor"/>
      </rPr>
      <t xml:space="preserve"> 5</t>
    </r>
  </si>
  <si>
    <r>
      <t>%-osuus</t>
    </r>
    <r>
      <rPr>
        <sz val="10"/>
        <color theme="4" tint="0.59999389629810485"/>
        <rFont val="Calibri"/>
        <family val="2"/>
        <scheme val="minor"/>
      </rPr>
      <t xml:space="preserve"> 5</t>
    </r>
  </si>
  <si>
    <r>
      <t>Jaettava €</t>
    </r>
    <r>
      <rPr>
        <sz val="10"/>
        <color theme="4" tint="0.59999389629810485"/>
        <rFont val="Calibri"/>
        <family val="2"/>
        <scheme val="minor"/>
      </rPr>
      <t xml:space="preserve"> 5</t>
    </r>
  </si>
  <si>
    <r>
      <t>%-osuus</t>
    </r>
    <r>
      <rPr>
        <sz val="10"/>
        <color theme="4" tint="0.59999389629810485"/>
        <rFont val="Calibri"/>
        <family val="2"/>
        <scheme val="minor"/>
      </rPr>
      <t xml:space="preserve"> 6</t>
    </r>
  </si>
  <si>
    <r>
      <t>Jaettava €</t>
    </r>
    <r>
      <rPr>
        <sz val="10"/>
        <color theme="4" tint="0.59999389629810485"/>
        <rFont val="Calibri"/>
        <family val="2"/>
        <scheme val="minor"/>
      </rPr>
      <t xml:space="preserve"> 6</t>
    </r>
  </si>
  <si>
    <t>6 Kokonaistaloudellisen tilanteen perusteella</t>
  </si>
  <si>
    <t>Hakemus, € 1</t>
  </si>
  <si>
    <r>
      <t>Päätös, €</t>
    </r>
    <r>
      <rPr>
        <sz val="10"/>
        <color theme="5" tint="0.59999389629810485"/>
        <rFont val="Calibri"/>
        <family val="2"/>
        <scheme val="minor"/>
      </rPr>
      <t xml:space="preserve"> 1</t>
    </r>
  </si>
  <si>
    <r>
      <t>Hakemus, €</t>
    </r>
    <r>
      <rPr>
        <sz val="10"/>
        <color theme="5" tint="0.59999389629810485"/>
        <rFont val="Calibri"/>
        <family val="2"/>
        <scheme val="minor"/>
      </rPr>
      <t xml:space="preserve"> 2</t>
    </r>
  </si>
  <si>
    <r>
      <t>Päätös, €</t>
    </r>
    <r>
      <rPr>
        <sz val="10"/>
        <color theme="5" tint="0.59999389629810485"/>
        <rFont val="Calibri"/>
        <family val="2"/>
        <scheme val="minor"/>
      </rPr>
      <t xml:space="preserve"> 2</t>
    </r>
  </si>
  <si>
    <r>
      <t>Hakemus, €</t>
    </r>
    <r>
      <rPr>
        <sz val="10"/>
        <color theme="5" tint="0.59999389629810485"/>
        <rFont val="Calibri"/>
        <family val="2"/>
        <scheme val="minor"/>
      </rPr>
      <t xml:space="preserve"> 3</t>
    </r>
  </si>
  <si>
    <r>
      <t>Päätös, €</t>
    </r>
    <r>
      <rPr>
        <sz val="10"/>
        <color theme="5" tint="0.59999389629810485"/>
        <rFont val="Calibri"/>
        <family val="2"/>
        <scheme val="minor"/>
      </rPr>
      <t xml:space="preserve"> 3</t>
    </r>
  </si>
  <si>
    <r>
      <t>Hakemus, €</t>
    </r>
    <r>
      <rPr>
        <sz val="10"/>
        <color theme="5" tint="0.59999389629810485"/>
        <rFont val="Calibri"/>
        <family val="2"/>
        <scheme val="minor"/>
      </rPr>
      <t xml:space="preserve"> 4</t>
    </r>
  </si>
  <si>
    <r>
      <t>Päätös, €</t>
    </r>
    <r>
      <rPr>
        <sz val="10"/>
        <color theme="5" tint="0.59999389629810485"/>
        <rFont val="Calibri"/>
        <family val="2"/>
        <scheme val="minor"/>
      </rPr>
      <t xml:space="preserve"> 4</t>
    </r>
  </si>
  <si>
    <r>
      <t>Hakemus, €</t>
    </r>
    <r>
      <rPr>
        <sz val="10"/>
        <color theme="5" tint="0.59999389629810485"/>
        <rFont val="Calibri"/>
        <family val="2"/>
        <scheme val="minor"/>
      </rPr>
      <t xml:space="preserve"> 5</t>
    </r>
  </si>
  <si>
    <r>
      <t>Päätös, €</t>
    </r>
    <r>
      <rPr>
        <sz val="10"/>
        <color theme="5" tint="0.59999389629810485"/>
        <rFont val="Calibri"/>
        <family val="2"/>
        <scheme val="minor"/>
      </rPr>
      <t xml:space="preserve"> 5</t>
    </r>
  </si>
  <si>
    <r>
      <t>Hakemus, €</t>
    </r>
    <r>
      <rPr>
        <sz val="10"/>
        <color theme="5" tint="0.59999389629810485"/>
        <rFont val="Calibri"/>
        <family val="2"/>
        <scheme val="minor"/>
      </rPr>
      <t xml:space="preserve"> 6</t>
    </r>
  </si>
  <si>
    <r>
      <t>Päätös, €</t>
    </r>
    <r>
      <rPr>
        <sz val="10"/>
        <color theme="5" tint="0.59999389629810485"/>
        <rFont val="Calibri"/>
        <family val="2"/>
        <scheme val="minor"/>
      </rPr>
      <t xml:space="preserve"> 6</t>
    </r>
  </si>
  <si>
    <r>
      <t>Hakemus, €</t>
    </r>
    <r>
      <rPr>
        <sz val="10"/>
        <color theme="5" tint="0.59999389629810485"/>
        <rFont val="Calibri"/>
        <family val="2"/>
        <scheme val="minor"/>
      </rPr>
      <t xml:space="preserve"> 7</t>
    </r>
  </si>
  <si>
    <r>
      <t>Päätös, €</t>
    </r>
    <r>
      <rPr>
        <sz val="10"/>
        <color theme="5" tint="0.59999389629810485"/>
        <rFont val="Calibri"/>
        <family val="2"/>
        <scheme val="minor"/>
      </rPr>
      <t xml:space="preserve"> 7</t>
    </r>
  </si>
  <si>
    <r>
      <t>Hakemus, €</t>
    </r>
    <r>
      <rPr>
        <sz val="10"/>
        <color theme="5" tint="0.59999389629810485"/>
        <rFont val="Calibri"/>
        <family val="2"/>
        <scheme val="minor"/>
      </rPr>
      <t xml:space="preserve"> 8</t>
    </r>
  </si>
  <si>
    <r>
      <t>Päätös, €</t>
    </r>
    <r>
      <rPr>
        <sz val="10"/>
        <color theme="5" tint="0.59999389629810485"/>
        <rFont val="Calibri"/>
        <family val="2"/>
        <scheme val="minor"/>
      </rPr>
      <t xml:space="preserve"> 8</t>
    </r>
  </si>
  <si>
    <r>
      <t>Hakemus, €</t>
    </r>
    <r>
      <rPr>
        <sz val="10"/>
        <color theme="5" tint="0.59999389629810485"/>
        <rFont val="Calibri"/>
        <family val="2"/>
        <scheme val="minor"/>
      </rPr>
      <t xml:space="preserve"> 9</t>
    </r>
  </si>
  <si>
    <r>
      <t>Päätös, €</t>
    </r>
    <r>
      <rPr>
        <sz val="10"/>
        <color theme="5" tint="0.59999389629810485"/>
        <rFont val="Calibri"/>
        <family val="2"/>
        <scheme val="minor"/>
      </rPr>
      <t xml:space="preserve"> 9</t>
    </r>
  </si>
  <si>
    <t>VARSINAISELLA SUORITEPÄÄTÖKSELLÄ JAETTAVAN LASKENNALLISEN RAHOITUKSEN OSIEN SUHDE JÄRJESTÄJITTÄIN</t>
  </si>
  <si>
    <r>
      <t>Muutos, €</t>
    </r>
    <r>
      <rPr>
        <sz val="10"/>
        <color theme="0" tint="-0.14999847407452621"/>
        <rFont val="Calibri"/>
        <family val="2"/>
        <scheme val="minor"/>
      </rPr>
      <t xml:space="preserve"> 1</t>
    </r>
  </si>
  <si>
    <r>
      <t>Muutos, %</t>
    </r>
    <r>
      <rPr>
        <sz val="10"/>
        <color theme="0" tint="-0.14999847407452621"/>
        <rFont val="Calibri"/>
        <family val="2"/>
        <scheme val="minor"/>
      </rPr>
      <t xml:space="preserve"> 1</t>
    </r>
  </si>
  <si>
    <r>
      <t>Muutos, €</t>
    </r>
    <r>
      <rPr>
        <sz val="10"/>
        <color theme="0" tint="-0.14999847407452621"/>
        <rFont val="Calibri"/>
        <family val="2"/>
        <scheme val="minor"/>
      </rPr>
      <t xml:space="preserve"> 2</t>
    </r>
  </si>
  <si>
    <r>
      <t>Muutos, %</t>
    </r>
    <r>
      <rPr>
        <sz val="10"/>
        <color theme="0" tint="-0.14999847407452621"/>
        <rFont val="Calibri"/>
        <family val="2"/>
        <scheme val="minor"/>
      </rPr>
      <t xml:space="preserve"> 2</t>
    </r>
  </si>
  <si>
    <r>
      <t>Muutos, €</t>
    </r>
    <r>
      <rPr>
        <sz val="10"/>
        <color theme="0" tint="-0.14999847407452621"/>
        <rFont val="Calibri"/>
        <family val="2"/>
        <scheme val="minor"/>
      </rPr>
      <t xml:space="preserve"> 3</t>
    </r>
  </si>
  <si>
    <r>
      <t>Muutos, %</t>
    </r>
    <r>
      <rPr>
        <sz val="10"/>
        <color theme="0" tint="-0.14999847407452621"/>
        <rFont val="Calibri"/>
        <family val="2"/>
        <scheme val="minor"/>
      </rPr>
      <t xml:space="preserve"> 3</t>
    </r>
  </si>
  <si>
    <t>VERTAILU VUODEN 2020 VARSINAISEN SUORITEPÄÄTÖKSEN RAHOITUKSEEN</t>
  </si>
  <si>
    <t>Sis. oikaisut ja korjaukset 18.6.2020</t>
  </si>
  <si>
    <t>tiedot jäädytetty 1.11.2020 tasolle</t>
  </si>
  <si>
    <t>Rahoitusperusteraportti: Opiskelijapalautteen päättökyselyn painotetut pisteet (2019-2020)</t>
  </si>
  <si>
    <t>Rahoitusperusteraportti: Opiskelijapalautteen aloituskyselyn painotetut pisteet (2019-2020)</t>
  </si>
  <si>
    <t>Rahoitusperusteraportti: Tutkinnon suorittaneiden työllistyminen ja jatko-opiskelu painotetut pisteet (2018)</t>
  </si>
  <si>
    <t>Rahoitusperusteraportti: Tutkintojen ja tutkinnon osien painotetut pisteet (2019)</t>
  </si>
  <si>
    <t>Rahoitusperusteraportti: Painotetut opiskelijavuodet (2019)</t>
  </si>
  <si>
    <t>SUORITEPERUSTEINEN LASKENNALLINEN RAHOITUS</t>
  </si>
  <si>
    <t>LASKENNALLINEN RAHOITUS 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</si>
</sst>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\ %;\-0.00\ %;0.00\ %"/>
    <numFmt numFmtId="166" formatCode="0.0000"/>
    <numFmt numFmtId="167" formatCode="#,##0.0"/>
    <numFmt numFmtId="168" formatCode="0.00000"/>
    <numFmt numFmtId="169" formatCode="0.000\ %"/>
    <numFmt numFmtId="170" formatCode="#,##0.00000"/>
    <numFmt numFmtId="171" formatCode="#,##0\ &quot;€&quot;"/>
    <numFmt numFmtId="172" formatCode="0\ %;\-0\ %;0\ %"/>
    <numFmt numFmtId="173" formatCode="0.000\ %;\-0.000\ %;0.000\ 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4" tint="0.59999389629810485"/>
      <name val="Calibri"/>
      <family val="2"/>
      <scheme val="minor"/>
    </font>
    <font>
      <sz val="10"/>
      <color theme="5" tint="0.59999389629810485"/>
      <name val="Calibri"/>
      <family val="2"/>
      <scheme val="minor"/>
    </font>
    <font>
      <sz val="10"/>
      <color theme="0" tint="-0.1499984740745262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rgb="FFBFBFBF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324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4" fillId="0" borderId="0" xfId="0" applyFont="1"/>
    <xf numFmtId="0" fontId="4" fillId="0" borderId="0" xfId="0" applyFont="1" applyBorder="1" applyAlignment="1"/>
    <xf numFmtId="3" fontId="1" fillId="0" borderId="0" xfId="0" applyNumberFormat="1" applyFont="1" applyFill="1" applyBorder="1"/>
    <xf numFmtId="167" fontId="1" fillId="0" borderId="0" xfId="0" applyNumberFormat="1" applyFont="1" applyFill="1" applyBorder="1"/>
    <xf numFmtId="0" fontId="0" fillId="0" borderId="0" xfId="0" applyFill="1"/>
    <xf numFmtId="0" fontId="8" fillId="0" borderId="0" xfId="0" applyFont="1" applyBorder="1"/>
    <xf numFmtId="0" fontId="8" fillId="0" borderId="0" xfId="0" applyFont="1" applyFill="1" applyBorder="1"/>
    <xf numFmtId="0" fontId="9" fillId="0" borderId="0" xfId="0" applyFont="1" applyBorder="1"/>
    <xf numFmtId="0" fontId="8" fillId="0" borderId="0" xfId="0" applyFont="1" applyBorder="1" applyAlignment="1"/>
    <xf numFmtId="0" fontId="8" fillId="0" borderId="0" xfId="0" applyFont="1" applyBorder="1" applyAlignment="1">
      <alignment vertical="top"/>
    </xf>
    <xf numFmtId="0" fontId="13" fillId="0" borderId="0" xfId="0" applyFont="1" applyFill="1" applyBorder="1"/>
    <xf numFmtId="168" fontId="8" fillId="0" borderId="0" xfId="0" applyNumberFormat="1" applyFont="1" applyBorder="1"/>
    <xf numFmtId="10" fontId="8" fillId="0" borderId="0" xfId="2" applyNumberFormat="1" applyFont="1" applyBorder="1"/>
    <xf numFmtId="3" fontId="8" fillId="0" borderId="0" xfId="0" applyNumberFormat="1" applyFont="1" applyBorder="1"/>
    <xf numFmtId="3" fontId="8" fillId="0" borderId="5" xfId="0" applyNumberFormat="1" applyFont="1" applyBorder="1"/>
    <xf numFmtId="10" fontId="8" fillId="0" borderId="5" xfId="2" applyNumberFormat="1" applyFont="1" applyBorder="1"/>
    <xf numFmtId="10" fontId="8" fillId="0" borderId="0" xfId="0" applyNumberFormat="1" applyFont="1" applyBorder="1"/>
    <xf numFmtId="0" fontId="8" fillId="3" borderId="0" xfId="0" applyFont="1" applyFill="1" applyBorder="1"/>
    <xf numFmtId="0" fontId="8" fillId="0" borderId="0" xfId="0" applyFont="1"/>
    <xf numFmtId="3" fontId="8" fillId="0" borderId="2" xfId="0" applyNumberFormat="1" applyFont="1" applyBorder="1"/>
    <xf numFmtId="0" fontId="12" fillId="8" borderId="5" xfId="0" applyFont="1" applyFill="1" applyBorder="1" applyAlignment="1"/>
    <xf numFmtId="0" fontId="12" fillId="8" borderId="0" xfId="0" applyFont="1" applyFill="1" applyBorder="1" applyAlignment="1"/>
    <xf numFmtId="0" fontId="12" fillId="8" borderId="2" xfId="0" applyFont="1" applyFill="1" applyBorder="1" applyAlignment="1"/>
    <xf numFmtId="0" fontId="8" fillId="11" borderId="0" xfId="0" applyFont="1" applyFill="1" applyBorder="1" applyAlignment="1">
      <alignment wrapText="1"/>
    </xf>
    <xf numFmtId="2" fontId="8" fillId="11" borderId="0" xfId="0" applyNumberFormat="1" applyFont="1" applyFill="1" applyBorder="1" applyAlignment="1">
      <alignment wrapText="1"/>
    </xf>
    <xf numFmtId="0" fontId="8" fillId="11" borderId="5" xfId="0" applyFont="1" applyFill="1" applyBorder="1" applyAlignment="1">
      <alignment horizontal="center" wrapText="1"/>
    </xf>
    <xf numFmtId="0" fontId="8" fillId="11" borderId="0" xfId="0" applyFont="1" applyFill="1" applyBorder="1" applyAlignment="1">
      <alignment horizontal="center" wrapText="1"/>
    </xf>
    <xf numFmtId="0" fontId="8" fillId="11" borderId="2" xfId="0" applyFont="1" applyFill="1" applyBorder="1" applyAlignment="1">
      <alignment horizontal="center" wrapText="1"/>
    </xf>
    <xf numFmtId="0" fontId="8" fillId="3" borderId="0" xfId="0" applyFont="1" applyFill="1" applyBorder="1" applyAlignment="1"/>
    <xf numFmtId="0" fontId="8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wrapText="1"/>
    </xf>
    <xf numFmtId="0" fontId="8" fillId="2" borderId="5" xfId="0" applyFont="1" applyFill="1" applyBorder="1"/>
    <xf numFmtId="0" fontId="8" fillId="2" borderId="0" xfId="0" applyFont="1" applyFill="1" applyBorder="1"/>
    <xf numFmtId="0" fontId="8" fillId="2" borderId="5" xfId="0" applyFont="1" applyFill="1" applyBorder="1" applyAlignment="1">
      <alignment wrapText="1"/>
    </xf>
    <xf numFmtId="0" fontId="8" fillId="2" borderId="2" xfId="0" applyFont="1" applyFill="1" applyBorder="1"/>
    <xf numFmtId="0" fontId="12" fillId="5" borderId="5" xfId="0" applyFont="1" applyFill="1" applyBorder="1" applyAlignment="1">
      <alignment wrapText="1"/>
    </xf>
    <xf numFmtId="0" fontId="12" fillId="5" borderId="2" xfId="0" applyFont="1" applyFill="1" applyBorder="1" applyAlignment="1">
      <alignment wrapText="1"/>
    </xf>
    <xf numFmtId="3" fontId="8" fillId="0" borderId="0" xfId="0" applyNumberFormat="1" applyFont="1" applyFill="1" applyBorder="1"/>
    <xf numFmtId="3" fontId="8" fillId="0" borderId="6" xfId="0" applyNumberFormat="1" applyFont="1" applyBorder="1"/>
    <xf numFmtId="10" fontId="8" fillId="0" borderId="2" xfId="2" applyNumberFormat="1" applyFont="1" applyBorder="1"/>
    <xf numFmtId="0" fontId="15" fillId="13" borderId="15" xfId="0" applyFont="1" applyFill="1" applyBorder="1" applyAlignment="1">
      <alignment horizontal="center" vertical="center" wrapText="1"/>
    </xf>
    <xf numFmtId="0" fontId="15" fillId="13" borderId="15" xfId="0" applyFont="1" applyFill="1" applyBorder="1" applyAlignment="1">
      <alignment horizontal="left" vertical="center" wrapText="1"/>
    </xf>
    <xf numFmtId="0" fontId="8" fillId="3" borderId="2" xfId="0" applyFont="1" applyFill="1" applyBorder="1"/>
    <xf numFmtId="0" fontId="8" fillId="2" borderId="0" xfId="0" quotePrefix="1" applyFont="1" applyFill="1" applyBorder="1" applyAlignment="1">
      <alignment wrapText="1"/>
    </xf>
    <xf numFmtId="0" fontId="8" fillId="2" borderId="2" xfId="0" quotePrefix="1" applyFont="1" applyFill="1" applyBorder="1" applyAlignment="1">
      <alignment wrapText="1"/>
    </xf>
    <xf numFmtId="10" fontId="8" fillId="0" borderId="6" xfId="2" applyNumberFormat="1" applyFont="1" applyBorder="1"/>
    <xf numFmtId="0" fontId="16" fillId="0" borderId="0" xfId="0" applyFont="1"/>
    <xf numFmtId="0" fontId="0" fillId="0" borderId="0" xfId="0" applyBorder="1"/>
    <xf numFmtId="0" fontId="0" fillId="0" borderId="7" xfId="0" applyBorder="1"/>
    <xf numFmtId="0" fontId="0" fillId="0" borderId="0" xfId="0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10" xfId="0" applyBorder="1"/>
    <xf numFmtId="169" fontId="16" fillId="0" borderId="0" xfId="2" applyNumberFormat="1" applyFont="1" applyBorder="1" applyAlignment="1"/>
    <xf numFmtId="169" fontId="0" fillId="0" borderId="5" xfId="2" applyNumberFormat="1" applyFont="1" applyFill="1" applyBorder="1"/>
    <xf numFmtId="169" fontId="0" fillId="0" borderId="0" xfId="2" applyNumberFormat="1" applyFont="1" applyBorder="1"/>
    <xf numFmtId="169" fontId="0" fillId="0" borderId="0" xfId="2" applyNumberFormat="1" applyFont="1" applyFill="1" applyBorder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3" xfId="0" applyBorder="1"/>
    <xf numFmtId="0" fontId="0" fillId="0" borderId="4" xfId="0" applyFont="1" applyFill="1" applyBorder="1"/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9" fontId="0" fillId="0" borderId="2" xfId="2" applyNumberFormat="1" applyFont="1" applyBorder="1"/>
    <xf numFmtId="0" fontId="16" fillId="0" borderId="5" xfId="0" applyFont="1" applyBorder="1" applyAlignment="1">
      <alignment horizontal="left"/>
    </xf>
    <xf numFmtId="169" fontId="0" fillId="0" borderId="13" xfId="2" applyNumberFormat="1" applyFont="1" applyBorder="1"/>
    <xf numFmtId="169" fontId="0" fillId="0" borderId="10" xfId="2" applyNumberFormat="1" applyFont="1" applyBorder="1"/>
    <xf numFmtId="169" fontId="0" fillId="0" borderId="12" xfId="2" applyNumberFormat="1" applyFont="1" applyBorder="1"/>
    <xf numFmtId="169" fontId="0" fillId="0" borderId="7" xfId="2" applyNumberFormat="1" applyFont="1" applyBorder="1"/>
    <xf numFmtId="169" fontId="0" fillId="0" borderId="5" xfId="2" applyNumberFormat="1" applyFont="1" applyBorder="1"/>
    <xf numFmtId="169" fontId="0" fillId="0" borderId="8" xfId="2" applyNumberFormat="1" applyFont="1" applyBorder="1"/>
    <xf numFmtId="0" fontId="10" fillId="3" borderId="0" xfId="0" applyFont="1" applyFill="1" applyBorder="1" applyAlignment="1">
      <alignment vertical="top" wrapText="1"/>
    </xf>
    <xf numFmtId="0" fontId="8" fillId="11" borderId="5" xfId="0" applyFont="1" applyFill="1" applyBorder="1" applyAlignment="1">
      <alignment wrapText="1"/>
    </xf>
    <xf numFmtId="3" fontId="0" fillId="0" borderId="0" xfId="0" applyNumberFormat="1" applyBorder="1"/>
    <xf numFmtId="0" fontId="0" fillId="0" borderId="5" xfId="0" applyBorder="1" applyAlignment="1">
      <alignment horizontal="left"/>
    </xf>
    <xf numFmtId="170" fontId="8" fillId="0" borderId="0" xfId="0" applyNumberFormat="1" applyFont="1" applyBorder="1"/>
    <xf numFmtId="167" fontId="8" fillId="0" borderId="0" xfId="0" applyNumberFormat="1" applyFont="1" applyBorder="1"/>
    <xf numFmtId="3" fontId="0" fillId="0" borderId="3" xfId="0" applyNumberFormat="1" applyBorder="1" applyAlignment="1">
      <alignment horizontal="center"/>
    </xf>
    <xf numFmtId="3" fontId="16" fillId="0" borderId="0" xfId="0" applyNumberFormat="1" applyFont="1" applyFill="1" applyBorder="1"/>
    <xf numFmtId="3" fontId="0" fillId="0" borderId="0" xfId="0" applyNumberFormat="1" applyFill="1" applyBorder="1"/>
    <xf numFmtId="3" fontId="0" fillId="0" borderId="0" xfId="0" applyNumberFormat="1" applyFont="1" applyBorder="1"/>
    <xf numFmtId="3" fontId="0" fillId="0" borderId="0" xfId="0" applyNumberFormat="1" applyFont="1" applyFill="1" applyBorder="1"/>
    <xf numFmtId="169" fontId="0" fillId="0" borderId="2" xfId="0" applyNumberFormat="1" applyBorder="1"/>
    <xf numFmtId="169" fontId="0" fillId="0" borderId="0" xfId="0" applyNumberFormat="1" applyBorder="1"/>
    <xf numFmtId="9" fontId="5" fillId="3" borderId="0" xfId="2" applyNumberFormat="1" applyFont="1" applyFill="1" applyBorder="1"/>
    <xf numFmtId="9" fontId="0" fillId="3" borderId="0" xfId="2" applyNumberFormat="1" applyFont="1" applyFill="1" applyBorder="1"/>
    <xf numFmtId="12" fontId="0" fillId="3" borderId="2" xfId="2" applyNumberFormat="1" applyFont="1" applyFill="1" applyBorder="1"/>
    <xf numFmtId="169" fontId="5" fillId="0" borderId="0" xfId="2" applyNumberFormat="1" applyFont="1" applyFill="1" applyBorder="1"/>
    <xf numFmtId="169" fontId="5" fillId="0" borderId="0" xfId="2" applyNumberFormat="1" applyFont="1" applyBorder="1"/>
    <xf numFmtId="3" fontId="0" fillId="3" borderId="0" xfId="0" applyNumberFormat="1" applyFont="1" applyFill="1" applyBorder="1"/>
    <xf numFmtId="3" fontId="0" fillId="3" borderId="10" xfId="0" applyNumberFormat="1" applyFont="1" applyFill="1" applyBorder="1"/>
    <xf numFmtId="12" fontId="0" fillId="3" borderId="0" xfId="2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vertical="top"/>
    </xf>
    <xf numFmtId="0" fontId="8" fillId="0" borderId="0" xfId="0" applyFont="1" applyFill="1"/>
    <xf numFmtId="0" fontId="14" fillId="0" borderId="0" xfId="0" applyFont="1" applyAlignment="1">
      <alignment horizontal="left" vertical="center" wrapText="1"/>
    </xf>
    <xf numFmtId="0" fontId="17" fillId="0" borderId="0" xfId="0" applyFont="1" applyBorder="1" applyAlignment="1"/>
    <xf numFmtId="6" fontId="12" fillId="5" borderId="5" xfId="0" applyNumberFormat="1" applyFont="1" applyFill="1" applyBorder="1" applyAlignment="1">
      <alignment wrapText="1"/>
    </xf>
    <xf numFmtId="169" fontId="0" fillId="0" borderId="5" xfId="0" applyNumberFormat="1" applyBorder="1" applyAlignment="1"/>
    <xf numFmtId="169" fontId="0" fillId="0" borderId="0" xfId="0" applyNumberFormat="1" applyBorder="1" applyAlignment="1"/>
    <xf numFmtId="169" fontId="0" fillId="0" borderId="2" xfId="0" applyNumberFormat="1" applyBorder="1" applyAlignment="1"/>
    <xf numFmtId="3" fontId="0" fillId="0" borderId="10" xfId="0" applyNumberFormat="1" applyFont="1" applyFill="1" applyBorder="1"/>
    <xf numFmtId="0" fontId="19" fillId="0" borderId="0" xfId="0" applyFont="1"/>
    <xf numFmtId="0" fontId="13" fillId="0" borderId="0" xfId="0" applyNumberFormat="1" applyFont="1" applyFill="1" applyBorder="1"/>
    <xf numFmtId="0" fontId="12" fillId="5" borderId="6" xfId="0" applyFont="1" applyFill="1" applyBorder="1" applyAlignment="1">
      <alignment wrapText="1"/>
    </xf>
    <xf numFmtId="3" fontId="10" fillId="0" borderId="3" xfId="0" applyNumberFormat="1" applyFont="1" applyBorder="1"/>
    <xf numFmtId="3" fontId="10" fillId="0" borderId="4" xfId="0" applyNumberFormat="1" applyFont="1" applyBorder="1"/>
    <xf numFmtId="0" fontId="9" fillId="0" borderId="0" xfId="0" applyFont="1" applyFill="1" applyBorder="1"/>
    <xf numFmtId="0" fontId="12" fillId="7" borderId="6" xfId="0" applyFont="1" applyFill="1" applyBorder="1" applyAlignment="1">
      <alignment wrapText="1"/>
    </xf>
    <xf numFmtId="3" fontId="8" fillId="0" borderId="6" xfId="0" applyNumberFormat="1" applyFont="1" applyFill="1" applyBorder="1"/>
    <xf numFmtId="0" fontId="20" fillId="0" borderId="0" xfId="0" applyFont="1"/>
    <xf numFmtId="0" fontId="21" fillId="0" borderId="0" xfId="0" applyFont="1" applyAlignment="1">
      <alignment horizontal="left"/>
    </xf>
    <xf numFmtId="3" fontId="8" fillId="0" borderId="5" xfId="0" applyNumberFormat="1" applyFont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22" fillId="13" borderId="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2" fillId="13" borderId="16" xfId="0" applyFont="1" applyFill="1" applyBorder="1" applyAlignment="1">
      <alignment horizontal="left" vertical="center" wrapText="1"/>
    </xf>
    <xf numFmtId="0" fontId="22" fillId="13" borderId="0" xfId="0" applyFont="1" applyFill="1" applyBorder="1" applyAlignment="1">
      <alignment horizontal="left" vertical="center" wrapText="1"/>
    </xf>
    <xf numFmtId="0" fontId="22" fillId="13" borderId="17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right"/>
    </xf>
    <xf numFmtId="3" fontId="8" fillId="0" borderId="2" xfId="0" applyNumberFormat="1" applyFont="1" applyFill="1" applyBorder="1"/>
    <xf numFmtId="0" fontId="10" fillId="0" borderId="0" xfId="0" applyFont="1" applyBorder="1"/>
    <xf numFmtId="0" fontId="10" fillId="3" borderId="0" xfId="0" applyFont="1" applyFill="1" applyBorder="1" applyAlignment="1">
      <alignment vertical="center"/>
    </xf>
    <xf numFmtId="0" fontId="8" fillId="14" borderId="2" xfId="0" applyFont="1" applyFill="1" applyBorder="1" applyAlignment="1">
      <alignment wrapText="1"/>
    </xf>
    <xf numFmtId="0" fontId="8" fillId="14" borderId="6" xfId="0" applyFont="1" applyFill="1" applyBorder="1" applyAlignment="1">
      <alignment wrapText="1"/>
    </xf>
    <xf numFmtId="0" fontId="18" fillId="0" borderId="0" xfId="0" applyFont="1"/>
    <xf numFmtId="0" fontId="25" fillId="0" borderId="0" xfId="0" applyFont="1"/>
    <xf numFmtId="169" fontId="0" fillId="0" borderId="7" xfId="2" applyNumberFormat="1" applyFont="1" applyFill="1" applyBorder="1"/>
    <xf numFmtId="0" fontId="8" fillId="3" borderId="0" xfId="0" applyFont="1" applyFill="1" applyBorder="1" applyAlignment="1">
      <alignment horizontal="left" wrapText="1"/>
    </xf>
    <xf numFmtId="0" fontId="13" fillId="0" borderId="0" xfId="0" applyNumberFormat="1" applyFont="1" applyFill="1"/>
    <xf numFmtId="3" fontId="8" fillId="0" borderId="0" xfId="2" applyNumberFormat="1" applyFont="1" applyBorder="1"/>
    <xf numFmtId="0" fontId="24" fillId="0" borderId="0" xfId="0" applyFont="1"/>
    <xf numFmtId="0" fontId="12" fillId="5" borderId="0" xfId="0" applyFont="1" applyFill="1" applyBorder="1" applyAlignment="1">
      <alignment wrapText="1"/>
    </xf>
    <xf numFmtId="3" fontId="8" fillId="0" borderId="6" xfId="2" applyNumberFormat="1" applyFont="1" applyBorder="1"/>
    <xf numFmtId="0" fontId="11" fillId="12" borderId="0" xfId="0" applyFont="1" applyFill="1" applyBorder="1" applyAlignment="1">
      <alignment horizontal="left" vertical="center"/>
    </xf>
    <xf numFmtId="0" fontId="15" fillId="13" borderId="17" xfId="0" applyFont="1" applyFill="1" applyBorder="1" applyAlignment="1">
      <alignment horizontal="center" vertical="center" wrapText="1"/>
    </xf>
    <xf numFmtId="3" fontId="8" fillId="0" borderId="5" xfId="2" applyNumberFormat="1" applyFont="1" applyBorder="1"/>
    <xf numFmtId="0" fontId="13" fillId="0" borderId="0" xfId="0" applyFont="1"/>
    <xf numFmtId="167" fontId="0" fillId="0" borderId="0" xfId="0" applyNumberFormat="1"/>
    <xf numFmtId="0" fontId="0" fillId="0" borderId="0" xfId="0" applyFill="1" applyBorder="1"/>
    <xf numFmtId="0" fontId="0" fillId="3" borderId="0" xfId="0" applyFill="1"/>
    <xf numFmtId="3" fontId="0" fillId="0" borderId="0" xfId="0" applyNumberFormat="1"/>
    <xf numFmtId="0" fontId="18" fillId="0" borderId="9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170" fontId="0" fillId="0" borderId="0" xfId="0" applyNumberFormat="1"/>
    <xf numFmtId="0" fontId="18" fillId="0" borderId="9" xfId="0" applyFont="1" applyBorder="1"/>
    <xf numFmtId="0" fontId="18" fillId="0" borderId="3" xfId="0" applyFont="1" applyBorder="1"/>
    <xf numFmtId="3" fontId="18" fillId="0" borderId="3" xfId="0" applyNumberFormat="1" applyFont="1" applyBorder="1"/>
    <xf numFmtId="168" fontId="18" fillId="0" borderId="3" xfId="0" applyNumberFormat="1" applyFont="1" applyBorder="1"/>
    <xf numFmtId="167" fontId="18" fillId="0" borderId="3" xfId="0" applyNumberFormat="1" applyFont="1" applyBorder="1"/>
    <xf numFmtId="3" fontId="18" fillId="0" borderId="4" xfId="0" applyNumberFormat="1" applyFont="1" applyBorder="1"/>
    <xf numFmtId="0" fontId="0" fillId="0" borderId="11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quotePrefix="1" applyBorder="1" applyAlignment="1">
      <alignment horizontal="left"/>
    </xf>
    <xf numFmtId="0" fontId="16" fillId="0" borderId="8" xfId="0" applyFont="1" applyBorder="1"/>
    <xf numFmtId="0" fontId="0" fillId="0" borderId="11" xfId="0" quotePrefix="1" applyBorder="1"/>
    <xf numFmtId="3" fontId="0" fillId="3" borderId="5" xfId="0" applyNumberFormat="1" applyFont="1" applyFill="1" applyBorder="1"/>
    <xf numFmtId="3" fontId="0" fillId="0" borderId="2" xfId="0" applyNumberFormat="1" applyFont="1" applyFill="1" applyBorder="1"/>
    <xf numFmtId="0" fontId="10" fillId="15" borderId="2" xfId="0" applyFont="1" applyFill="1" applyBorder="1" applyAlignment="1">
      <alignment horizontal="left" vertical="center" wrapText="1"/>
    </xf>
    <xf numFmtId="0" fontId="10" fillId="15" borderId="5" xfId="0" applyFont="1" applyFill="1" applyBorder="1" applyAlignment="1">
      <alignment horizontal="left" vertical="center" wrapText="1"/>
    </xf>
    <xf numFmtId="0" fontId="11" fillId="12" borderId="0" xfId="0" applyFont="1" applyFill="1" applyBorder="1" applyAlignment="1">
      <alignment vertical="center"/>
    </xf>
    <xf numFmtId="0" fontId="11" fillId="12" borderId="2" xfId="0" applyFont="1" applyFill="1" applyBorder="1" applyAlignment="1">
      <alignment vertical="center"/>
    </xf>
    <xf numFmtId="0" fontId="13" fillId="0" borderId="0" xfId="0" applyFont="1" applyBorder="1"/>
    <xf numFmtId="0" fontId="8" fillId="2" borderId="2" xfId="0" applyFont="1" applyFill="1" applyBorder="1" applyAlignment="1">
      <alignment wrapText="1"/>
    </xf>
    <xf numFmtId="10" fontId="8" fillId="0" borderId="2" xfId="0" applyNumberFormat="1" applyFont="1" applyBorder="1"/>
    <xf numFmtId="10" fontId="8" fillId="0" borderId="11" xfId="2" applyNumberFormat="1" applyFont="1" applyBorder="1"/>
    <xf numFmtId="3" fontId="0" fillId="0" borderId="7" xfId="0" applyNumberFormat="1" applyFont="1" applyFill="1" applyBorder="1"/>
    <xf numFmtId="0" fontId="21" fillId="0" borderId="0" xfId="0" applyFont="1" applyFill="1" applyAlignment="1">
      <alignment horizontal="left"/>
    </xf>
    <xf numFmtId="4" fontId="21" fillId="0" borderId="0" xfId="0" applyNumberFormat="1" applyFont="1" applyFill="1" applyAlignment="1">
      <alignment horizontal="right"/>
    </xf>
    <xf numFmtId="0" fontId="26" fillId="0" borderId="0" xfId="4"/>
    <xf numFmtId="0" fontId="15" fillId="13" borderId="16" xfId="0" applyFont="1" applyFill="1" applyBorder="1" applyAlignment="1">
      <alignment horizontal="left" vertical="center" wrapText="1"/>
    </xf>
    <xf numFmtId="0" fontId="15" fillId="13" borderId="0" xfId="0" applyFont="1" applyFill="1" applyBorder="1" applyAlignment="1">
      <alignment horizontal="left" vertical="center" wrapText="1"/>
    </xf>
    <xf numFmtId="0" fontId="15" fillId="13" borderId="16" xfId="0" applyFont="1" applyFill="1" applyBorder="1" applyAlignment="1">
      <alignment horizontal="center" vertical="center" wrapText="1"/>
    </xf>
    <xf numFmtId="170" fontId="10" fillId="0" borderId="3" xfId="0" applyNumberFormat="1" applyFont="1" applyBorder="1"/>
    <xf numFmtId="167" fontId="10" fillId="0" borderId="3" xfId="0" applyNumberFormat="1" applyFont="1" applyBorder="1"/>
    <xf numFmtId="0" fontId="27" fillId="0" borderId="3" xfId="0" applyFont="1" applyFill="1" applyBorder="1"/>
    <xf numFmtId="0" fontId="27" fillId="0" borderId="4" xfId="0" applyFont="1" applyFill="1" applyBorder="1"/>
    <xf numFmtId="0" fontId="10" fillId="0" borderId="3" xfId="0" applyFont="1" applyBorder="1"/>
    <xf numFmtId="167" fontId="8" fillId="0" borderId="5" xfId="0" applyNumberFormat="1" applyFont="1" applyBorder="1"/>
    <xf numFmtId="167" fontId="8" fillId="0" borderId="0" xfId="1" applyNumberFormat="1" applyFont="1" applyBorder="1"/>
    <xf numFmtId="0" fontId="0" fillId="0" borderId="0" xfId="0" applyBorder="1" applyAlignment="1">
      <alignment horizontal="left"/>
    </xf>
    <xf numFmtId="12" fontId="0" fillId="0" borderId="2" xfId="2" applyNumberFormat="1" applyFont="1" applyFill="1" applyBorder="1"/>
    <xf numFmtId="12" fontId="16" fillId="0" borderId="0" xfId="0" applyNumberFormat="1" applyFont="1"/>
    <xf numFmtId="9" fontId="16" fillId="0" borderId="0" xfId="2" applyFont="1"/>
    <xf numFmtId="0" fontId="28" fillId="0" borderId="0" xfId="0" applyFont="1" applyAlignment="1">
      <alignment horizontal="left" vertical="center" wrapText="1"/>
    </xf>
    <xf numFmtId="0" fontId="29" fillId="13" borderId="15" xfId="0" applyFont="1" applyFill="1" applyBorder="1" applyAlignment="1">
      <alignment horizontal="left" vertical="center" wrapText="1"/>
    </xf>
    <xf numFmtId="4" fontId="28" fillId="0" borderId="0" xfId="0" applyNumberFormat="1" applyFont="1" applyAlignment="1">
      <alignment horizontal="right" vertical="center" indent="3"/>
    </xf>
    <xf numFmtId="166" fontId="28" fillId="0" borderId="0" xfId="0" applyNumberFormat="1" applyFont="1" applyAlignment="1">
      <alignment horizontal="right" vertical="center" indent="3"/>
    </xf>
    <xf numFmtId="4" fontId="29" fillId="13" borderId="15" xfId="0" applyNumberFormat="1" applyFont="1" applyFill="1" applyBorder="1" applyAlignment="1">
      <alignment horizontal="right" vertical="center" indent="3"/>
    </xf>
    <xf numFmtId="166" fontId="29" fillId="13" borderId="15" xfId="0" applyNumberFormat="1" applyFont="1" applyFill="1" applyBorder="1" applyAlignment="1">
      <alignment horizontal="right" vertical="center" indent="3"/>
    </xf>
    <xf numFmtId="0" fontId="29" fillId="13" borderId="15" xfId="0" applyFont="1" applyFill="1" applyBorder="1" applyAlignment="1">
      <alignment horizontal="center" vertical="center" wrapText="1"/>
    </xf>
    <xf numFmtId="173" fontId="28" fillId="0" borderId="0" xfId="0" applyNumberFormat="1" applyFont="1" applyAlignment="1">
      <alignment horizontal="right" vertical="center" indent="3"/>
    </xf>
    <xf numFmtId="173" fontId="29" fillId="13" borderId="15" xfId="0" applyNumberFormat="1" applyFont="1" applyFill="1" applyBorder="1" applyAlignment="1">
      <alignment horizontal="right" vertical="center" indent="3"/>
    </xf>
    <xf numFmtId="0" fontId="0" fillId="0" borderId="0" xfId="0"/>
    <xf numFmtId="3" fontId="28" fillId="0" borderId="0" xfId="0" applyNumberFormat="1" applyFont="1" applyAlignment="1">
      <alignment horizontal="right" vertical="center" indent="3"/>
    </xf>
    <xf numFmtId="4" fontId="28" fillId="0" borderId="0" xfId="0" applyNumberFormat="1" applyFont="1" applyAlignment="1">
      <alignment horizontal="right" vertical="center" indent="3"/>
    </xf>
    <xf numFmtId="165" fontId="28" fillId="0" borderId="0" xfId="0" applyNumberFormat="1" applyFont="1" applyAlignment="1">
      <alignment horizontal="right" vertical="center" indent="3"/>
    </xf>
    <xf numFmtId="0" fontId="28" fillId="0" borderId="0" xfId="0" applyFont="1" applyAlignment="1">
      <alignment horizontal="left" vertical="center" wrapText="1"/>
    </xf>
    <xf numFmtId="0" fontId="29" fillId="13" borderId="15" xfId="0" applyFont="1" applyFill="1" applyBorder="1" applyAlignment="1">
      <alignment horizontal="left" vertical="center" wrapText="1"/>
    </xf>
    <xf numFmtId="3" fontId="29" fillId="13" borderId="15" xfId="0" applyNumberFormat="1" applyFont="1" applyFill="1" applyBorder="1" applyAlignment="1">
      <alignment horizontal="right" vertical="center" indent="3"/>
    </xf>
    <xf numFmtId="4" fontId="29" fillId="13" borderId="15" xfId="0" applyNumberFormat="1" applyFont="1" applyFill="1" applyBorder="1" applyAlignment="1">
      <alignment horizontal="right" vertical="center" indent="3"/>
    </xf>
    <xf numFmtId="165" fontId="29" fillId="13" borderId="15" xfId="0" applyNumberFormat="1" applyFont="1" applyFill="1" applyBorder="1" applyAlignment="1">
      <alignment horizontal="right" vertical="center" indent="3"/>
    </xf>
    <xf numFmtId="172" fontId="28" fillId="0" borderId="0" xfId="0" applyNumberFormat="1" applyFont="1" applyAlignment="1">
      <alignment horizontal="right" vertical="center" indent="3"/>
    </xf>
    <xf numFmtId="0" fontId="28" fillId="0" borderId="0" xfId="0" applyNumberFormat="1" applyFont="1" applyAlignment="1">
      <alignment horizontal="right" vertical="center" indent="3"/>
    </xf>
    <xf numFmtId="2" fontId="28" fillId="0" borderId="0" xfId="0" applyNumberFormat="1" applyFont="1" applyAlignment="1">
      <alignment horizontal="right" vertical="center" indent="3"/>
    </xf>
    <xf numFmtId="172" fontId="29" fillId="13" borderId="15" xfId="0" applyNumberFormat="1" applyFont="1" applyFill="1" applyBorder="1" applyAlignment="1">
      <alignment horizontal="right" vertical="center" indent="3"/>
    </xf>
    <xf numFmtId="0" fontId="29" fillId="13" borderId="15" xfId="0" applyNumberFormat="1" applyFont="1" applyFill="1" applyBorder="1" applyAlignment="1">
      <alignment horizontal="right" vertical="center" indent="3"/>
    </xf>
    <xf numFmtId="2" fontId="29" fillId="13" borderId="15" xfId="0" applyNumberFormat="1" applyFont="1" applyFill="1" applyBorder="1" applyAlignment="1">
      <alignment horizontal="right" vertical="center" indent="3"/>
    </xf>
    <xf numFmtId="0" fontId="29" fillId="13" borderId="16" xfId="0" applyFont="1" applyFill="1" applyBorder="1" applyAlignment="1">
      <alignment horizontal="center" vertical="center" wrapText="1"/>
    </xf>
    <xf numFmtId="0" fontId="29" fillId="13" borderId="17" xfId="0" applyFont="1" applyFill="1" applyBorder="1" applyAlignment="1">
      <alignment horizontal="center" vertical="center" wrapText="1"/>
    </xf>
    <xf numFmtId="10" fontId="10" fillId="0" borderId="3" xfId="0" applyNumberFormat="1" applyFont="1" applyBorder="1"/>
    <xf numFmtId="10" fontId="10" fillId="0" borderId="9" xfId="0" applyNumberFormat="1" applyFont="1" applyBorder="1"/>
    <xf numFmtId="3" fontId="10" fillId="0" borderId="9" xfId="0" applyNumberFormat="1" applyFont="1" applyBorder="1"/>
    <xf numFmtId="3" fontId="10" fillId="0" borderId="14" xfId="0" applyNumberFormat="1" applyFont="1" applyBorder="1"/>
    <xf numFmtId="0" fontId="0" fillId="0" borderId="0" xfId="0" applyBorder="1" applyAlignment="1">
      <alignment horizontal="left"/>
    </xf>
    <xf numFmtId="6" fontId="12" fillId="11" borderId="5" xfId="0" applyNumberFormat="1" applyFont="1" applyFill="1" applyBorder="1" applyAlignment="1">
      <alignment wrapText="1"/>
    </xf>
    <xf numFmtId="0" fontId="12" fillId="11" borderId="5" xfId="0" applyFont="1" applyFill="1" applyBorder="1" applyAlignment="1">
      <alignment wrapText="1"/>
    </xf>
    <xf numFmtId="0" fontId="12" fillId="11" borderId="2" xfId="0" applyFont="1" applyFill="1" applyBorder="1" applyAlignment="1">
      <alignment wrapText="1"/>
    </xf>
    <xf numFmtId="10" fontId="10" fillId="0" borderId="4" xfId="0" applyNumberFormat="1" applyFont="1" applyBorder="1"/>
    <xf numFmtId="3" fontId="10" fillId="0" borderId="9" xfId="0" applyNumberFormat="1" applyFont="1" applyBorder="1" applyAlignment="1">
      <alignment horizontal="right"/>
    </xf>
    <xf numFmtId="3" fontId="10" fillId="0" borderId="3" xfId="0" applyNumberFormat="1" applyFont="1" applyFill="1" applyBorder="1"/>
    <xf numFmtId="167" fontId="10" fillId="0" borderId="9" xfId="0" applyNumberFormat="1" applyFont="1" applyBorder="1"/>
    <xf numFmtId="3" fontId="10" fillId="0" borderId="4" xfId="0" applyNumberFormat="1" applyFont="1" applyFill="1" applyBorder="1"/>
    <xf numFmtId="171" fontId="10" fillId="9" borderId="0" xfId="0" applyNumberFormat="1" applyFont="1" applyFill="1" applyBorder="1" applyAlignment="1"/>
    <xf numFmtId="171" fontId="10" fillId="9" borderId="0" xfId="3" applyNumberFormat="1" applyFont="1" applyFill="1" applyBorder="1" applyAlignment="1"/>
    <xf numFmtId="171" fontId="10" fillId="9" borderId="2" xfId="0" applyNumberFormat="1" applyFont="1" applyFill="1" applyBorder="1" applyAlignment="1"/>
    <xf numFmtId="0" fontId="11" fillId="6" borderId="0" xfId="0" applyFont="1" applyFill="1" applyBorder="1" applyAlignment="1">
      <alignment vertical="center" wrapText="1"/>
    </xf>
    <xf numFmtId="0" fontId="11" fillId="6" borderId="2" xfId="0" applyFont="1" applyFill="1" applyBorder="1" applyAlignment="1">
      <alignment vertical="center" wrapText="1"/>
    </xf>
    <xf numFmtId="0" fontId="13" fillId="0" borderId="0" xfId="0" applyFont="1" applyFill="1"/>
    <xf numFmtId="0" fontId="3" fillId="0" borderId="0" xfId="0" applyFont="1" applyFill="1"/>
    <xf numFmtId="14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13" xfId="0" applyFont="1" applyFill="1" applyBorder="1"/>
    <xf numFmtId="0" fontId="8" fillId="0" borderId="10" xfId="0" applyFont="1" applyFill="1" applyBorder="1"/>
    <xf numFmtId="0" fontId="8" fillId="0" borderId="10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8" xfId="0" applyFont="1" applyFill="1" applyBorder="1" applyAlignment="1">
      <alignment wrapText="1"/>
    </xf>
    <xf numFmtId="0" fontId="8" fillId="0" borderId="7" xfId="0" applyFont="1" applyFill="1" applyBorder="1" applyAlignment="1">
      <alignment wrapText="1"/>
    </xf>
    <xf numFmtId="0" fontId="8" fillId="0" borderId="7" xfId="0" applyFont="1" applyFill="1" applyBorder="1" applyAlignment="1">
      <alignment horizontal="center" wrapText="1"/>
    </xf>
    <xf numFmtId="0" fontId="8" fillId="0" borderId="7" xfId="0" quotePrefix="1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5" xfId="0" applyFont="1" applyFill="1" applyBorder="1"/>
    <xf numFmtId="170" fontId="8" fillId="0" borderId="0" xfId="0" applyNumberFormat="1" applyFont="1" applyFill="1" applyBorder="1"/>
    <xf numFmtId="167" fontId="8" fillId="0" borderId="0" xfId="0" applyNumberFormat="1" applyFont="1" applyFill="1" applyBorder="1"/>
    <xf numFmtId="0" fontId="10" fillId="0" borderId="9" xfId="0" applyFont="1" applyFill="1" applyBorder="1"/>
    <xf numFmtId="0" fontId="10" fillId="0" borderId="3" xfId="0" applyFont="1" applyFill="1" applyBorder="1"/>
    <xf numFmtId="170" fontId="10" fillId="0" borderId="3" xfId="0" applyNumberFormat="1" applyFont="1" applyFill="1" applyBorder="1"/>
    <xf numFmtId="167" fontId="10" fillId="0" borderId="3" xfId="0" applyNumberFormat="1" applyFont="1" applyFill="1" applyBorder="1"/>
    <xf numFmtId="3" fontId="10" fillId="0" borderId="0" xfId="0" applyNumberFormat="1" applyFont="1" applyFill="1" applyBorder="1"/>
    <xf numFmtId="0" fontId="28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4" fontId="28" fillId="0" borderId="0" xfId="0" applyNumberFormat="1" applyFont="1" applyFill="1" applyAlignment="1">
      <alignment horizontal="right" vertical="center" indent="3"/>
    </xf>
    <xf numFmtId="166" fontId="28" fillId="0" borderId="0" xfId="0" applyNumberFormat="1" applyFont="1" applyFill="1" applyAlignment="1">
      <alignment horizontal="right" vertical="center" indent="3"/>
    </xf>
    <xf numFmtId="0" fontId="24" fillId="0" borderId="0" xfId="0" applyFont="1" applyBorder="1" applyAlignment="1"/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8" fillId="11" borderId="13" xfId="0" applyFont="1" applyFill="1" applyBorder="1" applyAlignment="1">
      <alignment horizontal="center" vertical="top"/>
    </xf>
    <xf numFmtId="0" fontId="8" fillId="11" borderId="10" xfId="0" applyFont="1" applyFill="1" applyBorder="1" applyAlignment="1">
      <alignment horizontal="center" vertical="top"/>
    </xf>
    <xf numFmtId="0" fontId="8" fillId="11" borderId="12" xfId="0" applyFont="1" applyFill="1" applyBorder="1" applyAlignment="1">
      <alignment horizontal="center" vertical="top"/>
    </xf>
    <xf numFmtId="0" fontId="10" fillId="9" borderId="5" xfId="0" applyFont="1" applyFill="1" applyBorder="1" applyAlignment="1">
      <alignment horizontal="left" vertical="center" wrapText="1"/>
    </xf>
    <xf numFmtId="0" fontId="10" fillId="9" borderId="0" xfId="0" applyFont="1" applyFill="1" applyBorder="1" applyAlignment="1">
      <alignment horizontal="left" vertical="center" wrapText="1"/>
    </xf>
    <xf numFmtId="0" fontId="8" fillId="11" borderId="8" xfId="0" applyFont="1" applyFill="1" applyBorder="1" applyAlignment="1">
      <alignment horizontal="center"/>
    </xf>
    <xf numFmtId="0" fontId="8" fillId="11" borderId="7" xfId="0" applyFont="1" applyFill="1" applyBorder="1" applyAlignment="1">
      <alignment horizontal="center"/>
    </xf>
    <xf numFmtId="0" fontId="8" fillId="11" borderId="11" xfId="0" applyFont="1" applyFill="1" applyBorder="1" applyAlignment="1">
      <alignment horizontal="center"/>
    </xf>
    <xf numFmtId="0" fontId="12" fillId="8" borderId="5" xfId="0" applyFont="1" applyFill="1" applyBorder="1" applyAlignment="1">
      <alignment horizontal="center" vertical="top" wrapText="1"/>
    </xf>
    <xf numFmtId="0" fontId="12" fillId="8" borderId="2" xfId="0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2" fillId="8" borderId="0" xfId="0" applyFont="1" applyFill="1" applyBorder="1" applyAlignment="1">
      <alignment horizontal="center" vertical="top" wrapText="1"/>
    </xf>
    <xf numFmtId="0" fontId="8" fillId="11" borderId="5" xfId="0" applyFont="1" applyFill="1" applyBorder="1" applyAlignment="1">
      <alignment horizontal="center" vertical="top" wrapText="1"/>
    </xf>
    <xf numFmtId="0" fontId="8" fillId="11" borderId="0" xfId="0" applyFont="1" applyFill="1" applyBorder="1" applyAlignment="1">
      <alignment horizontal="center" vertical="top" wrapText="1"/>
    </xf>
    <xf numFmtId="0" fontId="8" fillId="11" borderId="2" xfId="0" applyFont="1" applyFill="1" applyBorder="1" applyAlignment="1">
      <alignment horizontal="center" vertical="top" wrapText="1"/>
    </xf>
    <xf numFmtId="0" fontId="8" fillId="11" borderId="13" xfId="0" applyFont="1" applyFill="1" applyBorder="1" applyAlignment="1">
      <alignment horizontal="center" vertical="top" wrapText="1"/>
    </xf>
    <xf numFmtId="0" fontId="8" fillId="11" borderId="10" xfId="0" applyFont="1" applyFill="1" applyBorder="1" applyAlignment="1">
      <alignment horizontal="center" vertical="top" wrapText="1"/>
    </xf>
    <xf numFmtId="0" fontId="8" fillId="11" borderId="12" xfId="0" applyFont="1" applyFill="1" applyBorder="1" applyAlignment="1">
      <alignment horizontal="center" vertical="top" wrapText="1"/>
    </xf>
    <xf numFmtId="0" fontId="8" fillId="11" borderId="8" xfId="0" applyFont="1" applyFill="1" applyBorder="1" applyAlignment="1">
      <alignment horizontal="center" wrapText="1"/>
    </xf>
    <xf numFmtId="0" fontId="8" fillId="11" borderId="7" xfId="0" applyFont="1" applyFill="1" applyBorder="1" applyAlignment="1">
      <alignment horizontal="center" wrapText="1"/>
    </xf>
    <xf numFmtId="0" fontId="8" fillId="14" borderId="6" xfId="0" applyFont="1" applyFill="1" applyBorder="1" applyAlignment="1">
      <alignment horizontal="center" vertical="top" wrapText="1"/>
    </xf>
    <xf numFmtId="0" fontId="11" fillId="10" borderId="5" xfId="0" applyFont="1" applyFill="1" applyBorder="1" applyAlignment="1">
      <alignment horizontal="left" vertical="center" wrapText="1"/>
    </xf>
    <xf numFmtId="0" fontId="11" fillId="10" borderId="0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center" vertical="top" wrapText="1"/>
    </xf>
    <xf numFmtId="0" fontId="12" fillId="7" borderId="2" xfId="0" applyFont="1" applyFill="1" applyBorder="1" applyAlignment="1">
      <alignment horizontal="center" vertical="top" wrapText="1"/>
    </xf>
    <xf numFmtId="0" fontId="12" fillId="7" borderId="5" xfId="0" applyFont="1" applyFill="1" applyBorder="1" applyAlignment="1">
      <alignment horizontal="center" vertical="top" wrapText="1"/>
    </xf>
    <xf numFmtId="0" fontId="11" fillId="5" borderId="6" xfId="0" applyFont="1" applyFill="1" applyBorder="1" applyAlignment="1">
      <alignment horizontal="center" vertical="top" wrapText="1"/>
    </xf>
    <xf numFmtId="0" fontId="11" fillId="12" borderId="5" xfId="0" applyFont="1" applyFill="1" applyBorder="1" applyAlignment="1">
      <alignment horizontal="left" vertical="center" wrapText="1"/>
    </xf>
    <xf numFmtId="0" fontId="11" fillId="12" borderId="0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left" vertical="center" wrapText="1"/>
    </xf>
    <xf numFmtId="0" fontId="11" fillId="9" borderId="0" xfId="0" applyFont="1" applyFill="1" applyBorder="1" applyAlignment="1">
      <alignment horizontal="left" vertical="center"/>
    </xf>
    <xf numFmtId="0" fontId="12" fillId="11" borderId="5" xfId="0" applyFont="1" applyFill="1" applyBorder="1" applyAlignment="1">
      <alignment horizontal="center" vertical="center" wrapText="1"/>
    </xf>
    <xf numFmtId="0" fontId="12" fillId="11" borderId="0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left" vertical="center"/>
    </xf>
    <xf numFmtId="0" fontId="11" fillId="12" borderId="2" xfId="0" applyFont="1" applyFill="1" applyBorder="1" applyAlignment="1">
      <alignment horizontal="left" vertical="center"/>
    </xf>
    <xf numFmtId="0" fontId="15" fillId="13" borderId="0" xfId="0" applyFont="1" applyFill="1" applyBorder="1" applyAlignment="1">
      <alignment horizontal="center" vertical="center" wrapText="1"/>
    </xf>
    <xf numFmtId="0" fontId="29" fillId="13" borderId="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</cellXfs>
  <cellStyles count="5">
    <cellStyle name="Hyperlinkki" xfId="4" builtinId="8"/>
    <cellStyle name="Normaali" xfId="0" builtinId="0"/>
    <cellStyle name="Pilkku" xfId="1" builtinId="3"/>
    <cellStyle name="Prosenttia" xfId="2" builtinId="5"/>
    <cellStyle name="Valuutta" xfId="3" builtinId="4"/>
  </cellStyles>
  <dxfs count="30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  <border diagonalUp="0" diagonalDown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  <border diagonalUp="0" diagonalDown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7" formatCode="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#,##0.0000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70" formatCode="#,##0.0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z val="10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border>
        <top style="thin">
          <color indexed="64"/>
        </top>
      </border>
    </dxf>
    <dxf>
      <font>
        <b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7" formatCode="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7" formatCode="#,##0.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7" formatCode="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7" formatCode="#,##0.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\ 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4" formatCode="0.00\ 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#,##0.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7" formatCode="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168" formatCode="0.0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border>
        <top style="thin">
          <color indexed="64"/>
        </top>
      </border>
    </dxf>
    <dxf>
      <font>
        <b/>
        <strike val="0"/>
        <outline val="0"/>
        <shadow val="0"/>
        <u val="none"/>
        <vertAlign val="baseline"/>
        <sz val="10"/>
      </font>
    </dxf>
    <dxf>
      <font>
        <i val="0"/>
        <strike val="0"/>
        <outline val="0"/>
        <shadow val="0"/>
        <u val="none"/>
        <vertAlign val="baseline"/>
        <sz val="10"/>
        <color theme="1"/>
        <name val="Calibri"/>
      </font>
    </dxf>
    <dxf>
      <font>
        <strike val="0"/>
        <outline val="0"/>
        <shadow val="0"/>
        <u val="none"/>
        <vertAlign val="baseline"/>
        <sz val="10"/>
      </font>
      <alignment vertical="bottom" textRotation="0" indent="0" justifyLastLine="0" shrinkToFit="0" readingOrder="0"/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sz val="9"/>
        <color theme="1"/>
        <name val="Arial"/>
        <scheme val="none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>
        <top style="thin">
          <color theme="9" tint="0.59996337778862885"/>
        </top>
        <bottom style="thin">
          <color theme="9" tint="0.59996337778862885"/>
        </bottom>
      </border>
    </dxf>
    <dxf>
      <border>
        <top style="thin">
          <color theme="9" tint="0.59996337778862885"/>
        </top>
        <bottom style="thin">
          <color theme="9" tint="0.59996337778862885"/>
        </bottom>
      </border>
    </dxf>
    <dxf>
      <font>
        <b/>
        <i val="0"/>
      </font>
    </dxf>
    <dxf>
      <border>
        <top style="thin">
          <color rgb="FFE8F2E2"/>
        </top>
        <bottom style="thin">
          <color rgb="FFE8F2E2"/>
        </bottom>
      </border>
    </dxf>
    <dxf>
      <font>
        <b/>
        <i val="0"/>
      </font>
      <fill>
        <patternFill>
          <bgColor theme="9" tint="0.59996337778862885"/>
        </patternFill>
      </fill>
      <border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</font>
      <fill>
        <patternFill>
          <bgColor theme="9" tint="0.59996337778862885"/>
        </patternFill>
      </fill>
      <border>
        <top style="thin">
          <color theme="0" tint="-0.24994659260841701"/>
        </top>
        <bottom style="thin">
          <color theme="0" tint="-0.24994659260841701"/>
        </bottom>
      </border>
    </dxf>
  </dxfs>
  <tableStyles count="3" defaultTableStyle="TableStyleMedium2" defaultPivotStyle="PivotStyleLight16">
    <tableStyle name="PivotStyleLight1 2" table="0" count="0"/>
    <tableStyle name="PivotStyleLight7 2" table="0" count="6">
      <tableStyleElement type="headerRow" dxfId="304"/>
      <tableStyleElement type="totalRow" dxfId="303"/>
      <tableStyleElement type="firstRowStripe" dxfId="302"/>
      <tableStyleElement type="firstRowSubheading" dxfId="301"/>
      <tableStyleElement type="pageFieldLabels" dxfId="300"/>
      <tableStyleElement type="pageFieldValues" dxfId="299"/>
    </tableStyle>
    <tableStyle name="SlicerStyleLight6 2" pivot="0" table="0" count="2">
      <tableStyleElement type="wholeTable" dxfId="298"/>
      <tableStyleElement type="headerRow" dxfId="297"/>
    </tableStyle>
  </tableStyles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266701</xdr:colOff>
      <xdr:row>1</xdr:row>
      <xdr:rowOff>19049</xdr:rowOff>
    </xdr:from>
    <xdr:ext cx="6978649" cy="1470146"/>
    <xdr:sp macro="" textlink="">
      <xdr:nvSpPr>
        <xdr:cNvPr id="2" name="Tekstiruutu 1"/>
        <xdr:cNvSpPr txBox="1"/>
      </xdr:nvSpPr>
      <xdr:spPr>
        <a:xfrm>
          <a:off x="266701" y="203199"/>
          <a:ext cx="6978649" cy="1470146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i-FI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19.1.2021	Rahoituksen simulointimalli ammatillisen koulutuksen järjestäjille</a:t>
          </a:r>
        </a:p>
        <a:p>
          <a:endParaRPr lang="fi-FI">
            <a:solidFill>
              <a:sysClr val="windowText" lastClr="000000"/>
            </a:solidFill>
            <a:effectLst/>
          </a:endParaRPr>
        </a:p>
        <a:p>
          <a:r>
            <a:rPr lang="fi-FI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OHJEET</a:t>
          </a:r>
          <a:endParaRPr lang="fi-FI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fi-FI">
            <a:solidFill>
              <a:sysClr val="windowText" lastClr="000000"/>
            </a:solidFill>
            <a:effectLst/>
          </a:endParaRPr>
        </a:p>
        <a:p>
          <a:r>
            <a:rPr lang="fi-FI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Simulointimalli on varsinaisen suoritepäätöksen laatimiseen tarkoitettu työkalu, joka on tässä suppeampana versiona koulutuksen järjestäjien omaa rahoituksen ennakointia varten hyödynnettäväksi. Mallin tässä versiossa on vuoden 2021 varsinaisen suoritepäätöksen (16.12.2020) mukaiset luvut.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3118576/Work%20Folders/Tiedostot%20Johannes/Kopio%20SIIRTOTIEDOSTO_OKM5AMOS_SUORITEP&#196;&#196;T&#214;SLASKENTAMALLI_2019_PAAKAYTTAJA_ver_1-0_12122018lopullin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nsilehti"/>
      <sheetName val="Ohjaus-Laskentataulu"/>
      <sheetName val="Jakotaulu"/>
      <sheetName val="Fuusiot"/>
      <sheetName val="Roolikartta"/>
      <sheetName val="Koski_opv"/>
      <sheetName val="Rajapinta_lukuarvot"/>
      <sheetName val="R-aineistot"/>
      <sheetName val="(Sarakkeet)"/>
    </sheetNames>
    <sheetDataSet>
      <sheetData sheetId="0"/>
      <sheetData sheetId="1"/>
      <sheetData sheetId="2"/>
      <sheetData sheetId="3">
        <row r="1">
          <cell r="C1">
            <v>9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id="1" name="Ohj.lask." displayName="Ohj.lask." ref="A5:AX155" totalsRowCount="1" headerRowDxfId="296" dataDxfId="295" totalsRowDxfId="294" totalsRowBorderDxfId="293">
  <autoFilter ref="A5:AX154"/>
  <sortState ref="A6:AT155">
    <sortCondition ref="B5:B155"/>
  </sortState>
  <tableColumns count="50">
    <tableColumn id="62" name="Y-tunnus" totalsRowLabel="Yhteensä" dataDxfId="292" totalsRowDxfId="291"/>
    <tableColumn id="1" name="Nimi" totalsRowFunction="custom" dataDxfId="290" totalsRowDxfId="289">
      <totalsRowFormula>COUNTIF(Ohj.lask.[Nimi],"?*")</totalsRowFormula>
    </tableColumn>
    <tableColumn id="73" name="Maakunta" dataDxfId="288" totalsRowDxfId="287"/>
    <tableColumn id="72" name="Omistajatyyppi" dataDxfId="286" totalsRowDxfId="285"/>
    <tableColumn id="43" name="Kieli" dataDxfId="284" totalsRowDxfId="283"/>
    <tableColumn id="2" name="Järjestämisluvan opisk.vuosien vähimmäismäärä" totalsRowFunction="custom" dataDxfId="282" totalsRowDxfId="281">
      <totalsRowFormula>SUM(Ohj.lask.[Järjestämisluvan opisk.vuosien vähimmäismäärä])</totalsRowFormula>
    </tableColumn>
    <tableColumn id="3" name="Suoritepäätöksellä jaettavat opisk.vuodet (luvan ylittävä osuus)" totalsRowFunction="custom" dataDxfId="280" totalsRowDxfId="279">
      <calculatedColumnFormula>Ohj.lask.[[#This Row],[Tavoitteelliset opiskelija-vuodet]]-Ohj.lask.[[#This Row],[Järjestämisluvan opisk.vuosien vähimmäismäärä]]</calculatedColumnFormula>
      <totalsRowFormula>SUM(Ohj.lask.[Suoritepäätöksellä jaettavat opisk.vuodet (luvan ylittävä osuus)])</totalsRowFormula>
    </tableColumn>
    <tableColumn id="4" name="Tavoitteelliset opiskelija-vuodet" totalsRowFunction="custom" dataDxfId="278" totalsRowDxfId="277">
      <totalsRowFormula>SUM(Ohj.lask.[Tavoitteelliset opiskelija-vuodet])</totalsRowFormula>
    </tableColumn>
    <tableColumn id="5" name="Profiili-kerroin" dataDxfId="276" totalsRowDxfId="275">
      <calculatedColumnFormula>IFERROR(VLOOKUP($A6,'2.1 Toteut. op.vuodet'!$A:$T,COLUMN('2.1 Toteut. op.vuodet'!T:T),FALSE),0)</calculatedColumnFormula>
    </tableColumn>
    <tableColumn id="6" name="Painotetut opiskelija-vuodet" totalsRowFunction="custom" dataDxfId="274" totalsRowDxfId="273">
      <calculatedColumnFormula>IFERROR(ROUND(H6*I6,1),0)</calculatedColumnFormula>
      <totalsRowFormula>SUM(Ohj.lask.[Painotetut opiskelija-vuodet])</totalsRowFormula>
    </tableColumn>
    <tableColumn id="7" name="%-osuus 1" totalsRowFunction="custom" dataDxfId="272" totalsRowDxfId="271">
      <calculatedColumnFormula>IFERROR(Ohj.lask.[[#This Row],[Painotetut opiskelija-vuodet]]/Ohj.lask.[[#Totals],[Painotetut opiskelija-vuodet]],0)</calculatedColumnFormula>
      <totalsRowFormula>SUM(Ohj.lask.[%-osuus 1])</totalsRowFormula>
    </tableColumn>
    <tableColumn id="8" name="Jaettava € 1" totalsRowFunction="custom" dataDxfId="270" totalsRowDxfId="269">
      <calculatedColumnFormula>ROUND(IFERROR('1.1 Jakotaulu'!L$11*Ohj.lask.[[#This Row],[%-osuus 1]],0),0)</calculatedColumnFormula>
      <totalsRowFormula>SUM(Ohj.lask.[Jaettava € 1])</totalsRowFormula>
    </tableColumn>
    <tableColumn id="9" name="Painotetut pisteet 2" totalsRowFunction="custom" dataDxfId="268" totalsRowDxfId="267">
      <calculatedColumnFormula>IFERROR(ROUND(VLOOKUP($A6,'2.2 Tutk. ja osien pain. pist.'!$A:$Q,COLUMN('2.2 Tutk. ja osien pain. pist.'!P:P),FALSE),1),0)</calculatedColumnFormula>
      <totalsRowFormula>SUM(Ohj.lask.[Painotetut pisteet 2])</totalsRowFormula>
    </tableColumn>
    <tableColumn id="10" name="%-osuus 2" totalsRowFunction="custom" dataDxfId="266" totalsRowDxfId="265" dataCellStyle="Prosenttia">
      <calculatedColumnFormula>IFERROR(Ohj.lask.[[#This Row],[Painotetut pisteet 2]]/Ohj.lask.[[#Totals],[Painotetut pisteet 2]],0)</calculatedColumnFormula>
      <totalsRowFormula>SUM(Ohj.lask.[%-osuus 2])</totalsRowFormula>
    </tableColumn>
    <tableColumn id="11" name="Jaettava € 2" totalsRowFunction="custom" dataDxfId="264" totalsRowDxfId="263">
      <calculatedColumnFormula>ROUND(IFERROR('1.1 Jakotaulu'!K$12*Ohj.lask.[[#This Row],[%-osuus 2]],0),0)</calculatedColumnFormula>
      <totalsRowFormula>SUM(Ohj.lask.[Jaettava € 2])</totalsRowFormula>
    </tableColumn>
    <tableColumn id="12" name="Painotetut pisteet 3" totalsRowFunction="custom" dataDxfId="262" totalsRowDxfId="261" dataCellStyle="Pilkku">
      <calculatedColumnFormula>IFERROR(ROUND(VLOOKUP($A6,'2.3 Työll. ja jatko-opisk.'!$A:$K,COLUMN('2.3 Työll. ja jatko-opisk.'!I:I),FALSE),1),0)</calculatedColumnFormula>
      <totalsRowFormula>SUM(Ohj.lask.[Painotetut pisteet 3])</totalsRowFormula>
    </tableColumn>
    <tableColumn id="13" name="%-osuus 3" totalsRowFunction="custom" dataDxfId="260" totalsRowDxfId="259">
      <calculatedColumnFormula>IFERROR(Ohj.lask.[[#This Row],[Painotetut pisteet 3]]/Ohj.lask.[[#Totals],[Painotetut pisteet 3]],0)</calculatedColumnFormula>
      <totalsRowFormula>SUM(Ohj.lask.[%-osuus 3])</totalsRowFormula>
    </tableColumn>
    <tableColumn id="14" name="Jaettava € 3" totalsRowFunction="custom" dataDxfId="258" totalsRowDxfId="257">
      <calculatedColumnFormula>ROUND(IFERROR('1.1 Jakotaulu'!L$14*Ohj.lask.[[#This Row],[%-osuus 3]],0),0)</calculatedColumnFormula>
      <totalsRowFormula>SUM(Ohj.lask.[Jaettava € 3])</totalsRowFormula>
    </tableColumn>
    <tableColumn id="15" name="Painotetut pisteet 4" totalsRowFunction="custom" dataDxfId="256" totalsRowDxfId="255">
      <calculatedColumnFormula>IFERROR(ROUND(VLOOKUP($A6,'2.4 Aloittaneet palaute'!$A:$K,COLUMN('2.4 Aloittaneet palaute'!J:J),FALSE),1),0)</calculatedColumnFormula>
      <totalsRowFormula>SUM(Ohj.lask.[Painotetut pisteet 4])</totalsRowFormula>
    </tableColumn>
    <tableColumn id="16" name="%-osuus 4" totalsRowFunction="custom" dataDxfId="254" totalsRowDxfId="253">
      <calculatedColumnFormula>IFERROR(Ohj.lask.[[#This Row],[Painotetut pisteet 4]]/Ohj.lask.[[#Totals],[Painotetut pisteet 4]],0)</calculatedColumnFormula>
      <totalsRowFormula>SUM(Ohj.lask.[%-osuus 4])</totalsRowFormula>
    </tableColumn>
    <tableColumn id="17" name="Jaettava € 4" totalsRowFunction="custom" dataDxfId="252" totalsRowDxfId="251">
      <calculatedColumnFormula>ROUND(IFERROR('1.1 Jakotaulu'!M$16*Ohj.lask.[[#This Row],[%-osuus 4]],0),0)</calculatedColumnFormula>
      <totalsRowFormula>SUM(Ohj.lask.[Jaettava € 4])</totalsRowFormula>
    </tableColumn>
    <tableColumn id="18" name="Painotetut pisteet 5" totalsRowFunction="custom" dataDxfId="250" totalsRowDxfId="249">
      <calculatedColumnFormula>IFERROR(ROUND(VLOOKUP($A6,'2.5 Päättäneet palaute'!$A:$AC,COLUMN('2.5 Päättäneet palaute'!AB:AB),FALSE),1),0)</calculatedColumnFormula>
      <totalsRowFormula>SUM(Ohj.lask.[Painotetut pisteet 5])</totalsRowFormula>
    </tableColumn>
    <tableColumn id="19" name="%-osuus 5" totalsRowFunction="custom" dataDxfId="248" totalsRowDxfId="247">
      <calculatedColumnFormula>IFERROR(Ohj.lask.[[#This Row],[Painotetut pisteet 5]]/Ohj.lask.[[#Totals],[Painotetut pisteet 5]],0)</calculatedColumnFormula>
      <totalsRowFormula>SUM(Ohj.lask.[%-osuus 5])</totalsRowFormula>
    </tableColumn>
    <tableColumn id="20" name="Jaettava € 5" totalsRowFunction="custom" dataDxfId="246" totalsRowDxfId="245">
      <calculatedColumnFormula>ROUND(IFERROR('1.1 Jakotaulu'!M$17*Ohj.lask.[[#This Row],[%-osuus 5]],0),0)</calculatedColumnFormula>
      <totalsRowFormula>SUM(Ohj.lask.[Jaettava € 5])</totalsRowFormula>
    </tableColumn>
    <tableColumn id="21" name="%-osuus 6" totalsRowFunction="custom" dataDxfId="244" totalsRowDxfId="243" dataCellStyle="Prosenttia">
      <calculatedColumnFormula>IFERROR(Ohj.lask.[[#This Row],[Jaettava € 6]]/Ohj.lask.[[#Totals],[Jaettava € 6]],"")</calculatedColumnFormula>
      <totalsRowFormula>SUM(Ohj.lask.[%-osuus 6])</totalsRowFormula>
    </tableColumn>
    <tableColumn id="22" name="Jaettava € 6" totalsRowFunction="custom" dataDxfId="242" totalsRowDxfId="241">
      <calculatedColumnFormula>IFERROR(Ohj.lask.[[#This Row],[Jaettava € 1]]+Ohj.lask.[[#This Row],[Jaettava € 2]]+Ohj.lask.[[#This Row],[Jaettava € 3]]+Ohj.lask.[[#This Row],[Jaettava € 4]]+Ohj.lask.[[#This Row],[Jaettava € 5]],"")</calculatedColumnFormula>
      <totalsRowFormula>SUM(Ohj.lask.[Jaettava € 6])</totalsRowFormula>
    </tableColumn>
    <tableColumn id="24" name="Hakemus, € 1" totalsRowFunction="custom" dataDxfId="240" totalsRowDxfId="239">
      <totalsRowFormula>SUM(Ohj.lask.[Hakemus, € 1])</totalsRowFormula>
    </tableColumn>
    <tableColumn id="25" name="Päätös, € 1" totalsRowFunction="custom" dataDxfId="238" totalsRowDxfId="237">
      <totalsRowFormula>SUM(Ohj.lask.[Päätös, € 1])</totalsRowFormula>
    </tableColumn>
    <tableColumn id="28" name="Hakemus, € 2" totalsRowFunction="custom" dataDxfId="236" totalsRowDxfId="235">
      <totalsRowFormula>SUM(Ohj.lask.[Hakemus, € 2])</totalsRowFormula>
    </tableColumn>
    <tableColumn id="29" name="Päätös, € 2" totalsRowFunction="custom" dataDxfId="234" totalsRowDxfId="233">
      <totalsRowFormula>SUM(Ohj.lask.[Päätös, € 2])</totalsRowFormula>
    </tableColumn>
    <tableColumn id="47" name="Hakemus, € 3" totalsRowFunction="custom" dataDxfId="232" totalsRowDxfId="231">
      <totalsRowFormula>SUM(Ohj.lask.[Hakemus, € 3])</totalsRowFormula>
    </tableColumn>
    <tableColumn id="46" name="Päätös, € 3" totalsRowFunction="custom" dataDxfId="230" totalsRowDxfId="229">
      <totalsRowFormula>SUM(Ohj.lask.[Päätös, € 3])</totalsRowFormula>
    </tableColumn>
    <tableColumn id="45" name="Hakemus, € 4" totalsRowFunction="custom" dataDxfId="228" totalsRowDxfId="227">
      <totalsRowFormula>SUM(Ohj.lask.[Hakemus, € 4])</totalsRowFormula>
    </tableColumn>
    <tableColumn id="44" name="Päätös, € 4" totalsRowFunction="custom" dataDxfId="226" totalsRowDxfId="225">
      <totalsRowFormula>SUM(Ohj.lask.[Päätös, € 4])</totalsRowFormula>
    </tableColumn>
    <tableColumn id="30" name="Hakemus, € 5" totalsRowFunction="custom" dataDxfId="224" totalsRowDxfId="223">
      <totalsRowFormula>SUM(Ohj.lask.[Hakemus, € 5])</totalsRowFormula>
    </tableColumn>
    <tableColumn id="31" name="Päätös, € 5" totalsRowFunction="custom" dataDxfId="222" totalsRowDxfId="221">
      <totalsRowFormula>SUM(Ohj.lask.[Päätös, € 5])</totalsRowFormula>
    </tableColumn>
    <tableColumn id="26" name="Hakemus, € 6" totalsRowFunction="custom" dataDxfId="220" totalsRowDxfId="219">
      <totalsRowFormula>SUM(Ohj.lask.[Hakemus, € 6])</totalsRowFormula>
    </tableColumn>
    <tableColumn id="27" name="Päätös, € 6" totalsRowFunction="custom" dataDxfId="218" totalsRowDxfId="217">
      <totalsRowFormula>SUM(Ohj.lask.[Päätös, € 6])</totalsRowFormula>
    </tableColumn>
    <tableColumn id="41" name="Hakemus, € 7" totalsRowFunction="custom" dataDxfId="216" totalsRowDxfId="215">
      <totalsRowFormula>SUM(Ohj.lask.[Hakemus, € 7])</totalsRowFormula>
    </tableColumn>
    <tableColumn id="40" name="Päätös, € 7" totalsRowFunction="custom" dataDxfId="214" totalsRowDxfId="213">
      <totalsRowFormula>SUM(Ohj.lask.[Päätös, € 7])</totalsRowFormula>
    </tableColumn>
    <tableColumn id="37" name="Hakemus, € 8" totalsRowFunction="custom" dataDxfId="212" totalsRowDxfId="211">
      <totalsRowFormula>SUM(Ohj.lask.[Hakemus, € 8])</totalsRowFormula>
    </tableColumn>
    <tableColumn id="36" name="Päätös, € 8" totalsRowFunction="custom" dataDxfId="210" totalsRowDxfId="209">
      <totalsRowFormula>SUM(Ohj.lask.[Päätös, € 8])</totalsRowFormula>
    </tableColumn>
    <tableColumn id="32" name="Hakemus, € 9" totalsRowFunction="custom" dataDxfId="208" totalsRowDxfId="207">
      <calculatedColumnFormula>IFERROR(VLOOKUP(Ohj.lask.[[#This Row],[Y-tunnus]],#REF!,COLUMN(#REF!),FALSE),0)</calculatedColumnFormula>
      <totalsRowFormula>SUM(Ohj.lask.[Hakemus, € 9])</totalsRowFormula>
    </tableColumn>
    <tableColumn id="33" name="Päätös, € 9" totalsRowFunction="custom" dataDxfId="206" totalsRowDxfId="205">
      <calculatedColumnFormula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calculatedColumnFormula>
      <totalsRowFormula>SUM(Ohj.lask.[Päätös, € 9])</totalsRowFormula>
    </tableColumn>
    <tableColumn id="38" name="Suoriteperusteinen (opiskelijavuosiin perustuva) sekä harkinnanvarainen korotus, €" totalsRowFunction="custom" dataDxfId="204" totalsRowDxfId="203">
      <calculatedColumnFormula>Ohj.lask.[[#This Row],[Jaettava € 1]]+Ohj.lask.[[#This Row],[Päätös, € 9]]</calculatedColumnFormula>
      <totalsRowFormula>SUM(Ohj.lask.[Suoriteperusteinen (opiskelijavuosiin perustuva) sekä harkinnanvarainen korotus, €])</totalsRowFormula>
    </tableColumn>
    <tableColumn id="34" name="Suoritusrahoitus, €" totalsRowFunction="custom" dataDxfId="202" totalsRowDxfId="201">
      <calculatedColumnFormula>Ohj.lask.[[#This Row],[Jaettava € 2]]</calculatedColumnFormula>
      <totalsRowFormula>SUM(Ohj.lask.[Suoritusrahoitus, €])</totalsRowFormula>
    </tableColumn>
    <tableColumn id="23" name="Työllistymiseen ja jatko-opintoihin siirtymiseen perustuva sekä opiskelija-palautteisiin perustuva, €" totalsRowFunction="custom" dataDxfId="200" totalsRowDxfId="199">
      <calculatedColumnFormula>Ohj.lask.[[#This Row],[Jaettava € 3]]+Ohj.lask.[[#This Row],[Jaettava € 4]]+Ohj.lask.[[#This Row],[Jaettava € 5]]</calculatedColumnFormula>
      <totalsRowFormula>SUM(Ohj.lask.[Työllistymiseen ja jatko-opintoihin siirtymiseen perustuva sekä opiskelija-palautteisiin perustuva, €])</totalsRowFormula>
    </tableColumn>
    <tableColumn id="39" name="Perus-, suoritus- ja vaikuttavuusrahoitus yhteensä, €" totalsRowFunction="custom" dataDxfId="198" totalsRowDxfId="197">
      <calculatedColumnFormula>Ohj.lask.[[#This Row],[Jaettava € 6]]+Ohj.lask.[[#This Row],[Päätös, € 9]]</calculatedColumnFormula>
      <totalsRowFormula>SUM(Ohj.lask.[Perus-, suoritus- ja vaikuttavuusrahoitus yhteensä, €])</totalsRowFormula>
    </tableColumn>
    <tableColumn id="35" name="Alv-korvaus, €" totalsRowFunction="custom" dataDxfId="196" totalsRowDxfId="195">
      <totalsRowFormula>SUM(Ohj.lask.[Alv-korvaus, €])</totalsRowFormula>
    </tableColumn>
    <tableColumn id="42" name="Koko rahoitus + _x000a_alv-korvaus, €" totalsRowFunction="custom" dataDxfId="194" totalsRowDxfId="193">
      <calculatedColumnFormula>Ohj.lask.[[#This Row],[Perus-, suoritus- ja vaikuttavuusrahoitus yhteensä, €]]+Ohj.lask.[[#This Row],[Alv-korvaus, €]]</calculatedColumnFormula>
      <totalsRowFormula>SUM(Ohj.lask.[Koko rahoitus + 
alv-korvaus, €])</totalsRow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Vertailu" displayName="Vertailu" ref="A5:AI155" totalsRowCount="1" totalsRowDxfId="192" totalsRowBorderDxfId="191">
  <autoFilter ref="A5:AI154"/>
  <sortState ref="A6:BA154">
    <sortCondition ref="B5:B154"/>
  </sortState>
  <tableColumns count="35">
    <tableColumn id="1" name="Y-tunnus" totalsRowLabel="Yhteensä" dataDxfId="190" totalsRowDxfId="189"/>
    <tableColumn id="2" name="Nimi" totalsRowFunction="custom" dataDxfId="188" totalsRowDxfId="187">
      <totalsRowFormula>COUNTIF(Vertailu[Nimi],"?*")</totalsRowFormula>
    </tableColumn>
    <tableColumn id="3" name="Maakunta" dataDxfId="186" totalsRowDxfId="185"/>
    <tableColumn id="4" name="Omistajatyyppi" dataDxfId="184" totalsRowDxfId="183"/>
    <tableColumn id="5" name="Suorite-perusteinen perusrahoitus (pl. hark. kor.)" totalsRowFunction="custom" dataDxfId="182" totalsRowDxfId="181" dataCellStyle="Prosenttia">
      <calculatedColumnFormula>IFERROR(VLOOKUP(Vertailu[[#This Row],[Y-tunnus]],'1.2 Ohjaus-laskentataulu'!A:AY,COLUMN('1.2 Ohjaus-laskentataulu'!L:L),FALSE)/VLOOKUP(Vertailu[[#This Row],[Y-tunnus]],'1.2 Ohjaus-laskentataulu'!A:AY,COLUMN('1.2 Ohjaus-laskentataulu'!AV:AV),FALSE),0)</calculatedColumnFormula>
      <totalsRowFormula>Ohj.lask.[[#Totals],[Jaettava € 1]]/Ohj.lask.[[#Totals],[Perus-, suoritus- ja vaikuttavuusrahoitus yhteensä, €]]</totalsRowFormula>
    </tableColumn>
    <tableColumn id="38" name="Perusrahoitus yhteensä (ml. hark. kor.)" totalsRowFunction="custom" dataDxfId="180" totalsRowDxfId="179" dataCellStyle="Prosenttia">
      <calculatedColumnFormula>IFERROR(VLOOKUP(Vertailu[[#This Row],[Y-tunnus]],'1.2 Ohjaus-laskentataulu'!A:AY,COLUMN('1.2 Ohjaus-laskentataulu'!AS:AS),FALSE)/VLOOKUP(Vertailu[[#This Row],[Y-tunnus]],'1.2 Ohjaus-laskentataulu'!A:AY,COLUMN('1.2 Ohjaus-laskentataulu'!AV:AV),FALSE),0)</calculatedColumnFormula>
      <totalsRowFormula>Ohj.lask.[[#Totals],[Suoriteperusteinen (opiskelijavuosiin perustuva) sekä harkinnanvarainen korotus, €]]/Ohj.lask.[[#Totals],[Perus-, suoritus- ja vaikuttavuusrahoitus yhteensä, €]]</totalsRowFormula>
    </tableColumn>
    <tableColumn id="6" name="Suoritus-rahoitus" totalsRowFunction="custom" dataDxfId="178" totalsRowDxfId="177">
      <calculatedColumnFormula>IFERROR(VLOOKUP(Vertailu[[#This Row],[Y-tunnus]],'1.2 Ohjaus-laskentataulu'!A:AY,COLUMN('1.2 Ohjaus-laskentataulu'!AT:AT),FALSE)/VLOOKUP(Vertailu[[#This Row],[Y-tunnus]],'1.2 Ohjaus-laskentataulu'!A:AY,COLUMN('1.2 Ohjaus-laskentataulu'!AV:AV),FALSE),0)</calculatedColumnFormula>
      <totalsRowFormula>Ohj.lask.[[#Totals],[Suoritusrahoitus, €]]/Ohj.lask.[[#Totals],[Perus-, suoritus- ja vaikuttavuusrahoitus yhteensä, €]]</totalsRowFormula>
    </tableColumn>
    <tableColumn id="7" name="Vaikuttavuus-rahoitus yhteensä" totalsRowFunction="custom" dataDxfId="176" totalsRowDxfId="175" dataCellStyle="Prosenttia">
      <calculatedColumnFormula>IFERROR(VLOOKUP(Vertailu[[#This Row],[Y-tunnus]],'1.2 Ohjaus-laskentataulu'!A:AY,COLUMN('1.2 Ohjaus-laskentataulu'!AU:AU),FALSE)/VLOOKUP(Vertailu[[#This Row],[Y-tunnus]],'1.2 Ohjaus-laskentataulu'!A:AY,COLUMN('1.2 Ohjaus-laskentataulu'!AV:AV),FALSE),0)</calculatedColumnFormula>
      <totalsRowFormula>Ohj.lask.[[#Totals],[Työllistymiseen ja jatko-opintoihin siirtymiseen perustuva sekä opiskelija-palautteisiin perustuva, €]]/Ohj.lask.[[#Totals],[Perus-, suoritus- ja vaikuttavuusrahoitus yhteensä, €]]</totalsRowFormula>
    </tableColumn>
    <tableColumn id="8" name="-josta työllistyneet ja jatko-opiskelijat" totalsRowFunction="custom" dataDxfId="174" totalsRowDxfId="173" dataCellStyle="Prosenttia">
      <calculatedColumnFormula>IFERROR(VLOOKUP(Vertailu[[#This Row],[Y-tunnus]],'1.2 Ohjaus-laskentataulu'!A:AY,COLUMN('1.2 Ohjaus-laskentataulu'!R:R),FALSE)/VLOOKUP(Vertailu[[#This Row],[Y-tunnus]],'1.2 Ohjaus-laskentataulu'!A:AY,COLUMN('1.2 Ohjaus-laskentataulu'!AV:AV),FALSE),0)</calculatedColumnFormula>
      <totalsRowFormula>Ohj.lask.[[#Totals],[Jaettava € 3]]/Ohj.lask.[[#Totals],[Perus-, suoritus- ja vaikuttavuusrahoitus yhteensä, €]]</totalsRowFormula>
    </tableColumn>
    <tableColumn id="9" name="-josta aloittaneet opiskelija-palaute" totalsRowFunction="custom" dataDxfId="172" totalsRowDxfId="171" dataCellStyle="Prosenttia">
      <calculatedColumnFormula>IFERROR(VLOOKUP(Vertailu[[#This Row],[Y-tunnus]],'1.2 Ohjaus-laskentataulu'!A:AY,COLUMN('1.2 Ohjaus-laskentataulu'!U:U),FALSE)/VLOOKUP(Vertailu[[#This Row],[Y-tunnus]],'1.2 Ohjaus-laskentataulu'!A:AY,COLUMN('1.2 Ohjaus-laskentataulu'!AV:AV),FALSE),0)</calculatedColumnFormula>
      <totalsRowFormula>Ohj.lask.[[#Totals],[Jaettava € 4]]/Ohj.lask.[[#Totals],[Perus-, suoritus- ja vaikuttavuusrahoitus yhteensä, €]]</totalsRowFormula>
    </tableColumn>
    <tableColumn id="10" name="-josta päättäneet opiskelija-palaute" totalsRowFunction="custom" dataDxfId="170" totalsRowDxfId="169" dataCellStyle="Prosenttia">
      <calculatedColumnFormula>IFERROR(VLOOKUP(Vertailu[[#This Row],[Y-tunnus]],'1.2 Ohjaus-laskentataulu'!A:AY,COLUMN('1.2 Ohjaus-laskentataulu'!X:X),FALSE)/VLOOKUP(Vertailu[[#This Row],[Y-tunnus]],'1.2 Ohjaus-laskentataulu'!A:AY,COLUMN('1.2 Ohjaus-laskentataulu'!AV:AV),FALSE),0)</calculatedColumnFormula>
      <totalsRowFormula>Ohj.lask.[[#Totals],[Jaettava € 5]]/Ohj.lask.[[#Totals],[Perus-, suoritus- ja vaikuttavuusrahoitus yhteensä, €]]</totalsRowFormula>
    </tableColumn>
    <tableColumn id="12" name="Rahoitus pl. hark. kor. 2020 ilman alv, €" totalsRowFunction="sum" dataDxfId="168" totalsRowDxfId="167">
      <calculatedColumnFormula>IFERROR(VLOOKUP(Vertailu[[#This Row],[Y-tunnus]],'Suoritepäätös 2020'!$Q:$AC,COLUMN('Suoritepäätös 2020'!L:L),FALSE)-VLOOKUP(Vertailu[[#This Row],[Y-tunnus]],'Suoritepäätös 2020'!$B:$N,COLUMN('Suoritepäätös 2020'!F:F),FALSE),0)</calculatedColumnFormula>
    </tableColumn>
    <tableColumn id="16" name="Rahoitus pl. hark. kor. 2021 ilman alv, €" totalsRowFunction="sum" dataDxfId="166" totalsRowDxfId="165">
      <calculatedColumnFormula>IFERROR(VLOOKUP(Vertailu[[#This Row],[Y-tunnus]],'1.2 Ohjaus-laskentataulu'!A:AY,COLUMN('1.2 Ohjaus-laskentataulu'!Z:Z),FALSE),0)</calculatedColumnFormula>
    </tableColumn>
    <tableColumn id="14" name="Muutos, € 1" totalsRowFunction="sum" dataDxfId="164" totalsRowDxfId="163">
      <calculatedColumnFormula>IFERROR(Vertailu[[#This Row],[Rahoitus pl. hark. kor. 2021 ilman alv, €]]-Vertailu[[#This Row],[Rahoitus pl. hark. kor. 2020 ilman alv, €]],0)</calculatedColumnFormula>
    </tableColumn>
    <tableColumn id="15" name="Muutos, % 1" totalsRowFunction="custom" dataDxfId="162" totalsRowDxfId="161" dataCellStyle="Prosenttia">
      <calculatedColumnFormula>IFERROR(Vertailu[[#This Row],[Muutos, € 1]]/Vertailu[[#This Row],[Rahoitus pl. hark. kor. 2020 ilman alv, €]],0)</calculatedColumnFormula>
      <totalsRowFormula>IFERROR(Vertailu[[#Totals],[Muutos, € 1]]/Vertailu[[#Totals],[Rahoitus pl. hark. kor. 2020 ilman alv, €]],0)</totalsRowFormula>
    </tableColumn>
    <tableColumn id="37" name="Rahoitus ml. hark. kor. _x000a_2020 ilman alv, €" totalsRowFunction="sum" dataDxfId="160" totalsRowDxfId="159" dataCellStyle="Prosenttia">
      <calculatedColumnFormula>IFERROR(VLOOKUP(Vertailu[[#This Row],[Y-tunnus]],'Suoritepäätös 2020'!$Q:$AC,COLUMN('Suoritepäätös 2020'!L:L),FALSE),0)</calculatedColumnFormula>
    </tableColumn>
    <tableColumn id="23" name="Rahoitus ml. hark. kor. _x000a_2021 ilman alv, €" totalsRowFunction="sum" dataDxfId="158" totalsRowDxfId="157" dataCellStyle="Prosenttia">
      <calculatedColumnFormula>IFERROR(VLOOKUP(Vertailu[[#This Row],[Y-tunnus]],'1.2 Ohjaus-laskentataulu'!A:AY,COLUMN('1.2 Ohjaus-laskentataulu'!AV:AV),FALSE),0)</calculatedColumnFormula>
    </tableColumn>
    <tableColumn id="13" name="Muutos, € 2" totalsRowFunction="sum" dataDxfId="156" totalsRowDxfId="155" dataCellStyle="Prosenttia">
      <calculatedColumnFormula>IFERROR(Vertailu[[#This Row],[Rahoitus ml. hark. kor. 
2021 ilman alv, €]]-Vertailu[[#This Row],[Rahoitus ml. hark. kor. 
2020 ilman alv, €]],0)</calculatedColumnFormula>
    </tableColumn>
    <tableColumn id="11" name="Muutos, % 2" totalsRowFunction="custom" dataDxfId="154" totalsRowDxfId="153" dataCellStyle="Prosenttia">
      <calculatedColumnFormula>IFERROR(Vertailu[[#This Row],[Muutos, € 2]]/Vertailu[[#This Row],[Rahoitus ml. hark. kor. 
2020 ilman alv, €]],0)</calculatedColumnFormula>
      <totalsRowFormula>IFERROR(Vertailu[[#Totals],[Muutos, € 2]]/Vertailu[[#Totals],[Rahoitus ml. hark. kor. 
2020 ilman alv, €]],0)</totalsRowFormula>
    </tableColumn>
    <tableColumn id="30" name="Rahoitus ml. hark. kor. + alv 2020, €" totalsRowFunction="sum" dataDxfId="152" totalsRowDxfId="151" dataCellStyle="Prosenttia">
      <calculatedColumnFormula>IFERROR(VLOOKUP(Vertailu[[#This Row],[Y-tunnus]],'Suoritepäätös 2020'!$Q:$AC,COLUMN('Suoritepäätös 2020'!L:L),FALSE)+VLOOKUP(Vertailu[[#This Row],[Y-tunnus]],'Suoritepäätös 2020'!$Q:$AC,COLUMN('Suoritepäätös 2020'!M:M),FALSE),0)</calculatedColumnFormula>
    </tableColumn>
    <tableColumn id="45" name="Rahoitus ml. hark. kor. + alv 2021, €" totalsRowFunction="sum" dataDxfId="150" totalsRowDxfId="149" dataCellStyle="Prosenttia">
      <calculatedColumnFormula>IFERROR(VLOOKUP(Vertailu[[#This Row],[Y-tunnus]],'1.2 Ohjaus-laskentataulu'!A:AY,COLUMN('1.2 Ohjaus-laskentataulu'!AX:AX),FALSE),0)</calculatedColumnFormula>
    </tableColumn>
    <tableColumn id="44" name="Muutos, € 3" totalsRowFunction="sum" dataDxfId="148" totalsRowDxfId="147" dataCellStyle="Prosenttia">
      <calculatedColumnFormula>IFERROR(Vertailu[[#This Row],[Rahoitus ml. hark. kor. + alv 2021, €]]-Vertailu[[#This Row],[Rahoitus ml. hark. kor. + alv 2020, €]],0)</calculatedColumnFormula>
    </tableColumn>
    <tableColumn id="24" name="Muutos, % 3" totalsRowFunction="custom" dataDxfId="146" totalsRowDxfId="145" dataCellStyle="Prosenttia">
      <calculatedColumnFormula>IFERROR(Vertailu[[#This Row],[Muutos, € 3]]/Vertailu[[#This Row],[Rahoitus ml. hark. kor. + alv 2020, €]],0)</calculatedColumnFormula>
      <totalsRowFormula>IFERROR(Vertailu[[#Totals],[Muutos, € 3]]/Vertailu[[#Totals],[Rahoitus ml. hark. kor. + alv 2020, €]],0)</totalsRowFormula>
    </tableColumn>
    <tableColumn id="40" name="Perusrahoitus 2020, €" totalsRowFunction="sum" dataDxfId="144" totalsRowDxfId="143">
      <calculatedColumnFormula>IFERROR(VLOOKUP(Vertailu[[#This Row],[Y-tunnus]],'Suoritepäätös 2020'!$B:$N,COLUMN('Suoritepäätös 2020'!G:G),FALSE),0)</calculatedColumnFormula>
    </tableColumn>
    <tableColumn id="41" name="Perusrahoitus 2021, €" totalsRowFunction="sum" dataDxfId="142" totalsRowDxfId="141">
      <calculatedColumnFormula>IFERROR(VLOOKUP(Vertailu[[#This Row],[Y-tunnus]],'1.2 Ohjaus-laskentataulu'!A:AY,COLUMN('1.2 Ohjaus-laskentataulu'!AS:AS),FALSE),0)</calculatedColumnFormula>
    </tableColumn>
    <tableColumn id="42" name="Perusrahoituksen muutos, €" totalsRowFunction="sum" dataDxfId="140" totalsRowDxfId="139">
      <calculatedColumnFormula>Vertailu[[#This Row],[Perusrahoitus 2021, €]]-Vertailu[[#This Row],[Perusrahoitus 2020, €]]</calculatedColumnFormula>
    </tableColumn>
    <tableColumn id="43" name="Perusrahoituksen muutos, %" totalsRowFunction="custom" dataDxfId="138" totalsRowDxfId="137" dataCellStyle="Prosenttia">
      <calculatedColumnFormula>IFERROR(Vertailu[[#This Row],[Perusrahoituksen muutos, €]]/Vertailu[[#This Row],[Perusrahoitus 2020, €]],0)</calculatedColumnFormula>
      <totalsRowFormula>IFERROR(Vertailu[[#Totals],[Perusrahoituksen muutos, €]]/Vertailu[[#Totals],[Perusrahoitus 2020, €]],0)</totalsRowFormula>
    </tableColumn>
    <tableColumn id="46" name="Suoritusrahoitus 2020, €" totalsRowFunction="sum" dataDxfId="136" totalsRowDxfId="135">
      <calculatedColumnFormula>IFERROR(VLOOKUP(Vertailu[[#This Row],[Y-tunnus]],'Suoritepäätös 2020'!$B:$N,COLUMN('Suoritepäätös 2020'!M:M),FALSE),0)</calculatedColumnFormula>
    </tableColumn>
    <tableColumn id="47" name="Suoritusrahoitus 2021, €" totalsRowFunction="sum" dataDxfId="134" totalsRowDxfId="133">
      <calculatedColumnFormula>IFERROR(VLOOKUP(Vertailu[[#This Row],[Y-tunnus]],'1.2 Ohjaus-laskentataulu'!A:AY,COLUMN('1.2 Ohjaus-laskentataulu'!O:O),FALSE),0)</calculatedColumnFormula>
    </tableColumn>
    <tableColumn id="48" name="Suoritusrahoituksen muutos, €" totalsRowFunction="sum" dataDxfId="132" totalsRowDxfId="131">
      <calculatedColumnFormula>Vertailu[[#This Row],[Suoritusrahoitus 2021, €]]-Vertailu[[#This Row],[Suoritusrahoitus 2020, €]]</calculatedColumnFormula>
    </tableColumn>
    <tableColumn id="49" name="Suoritusrahoituksen muutos, %" totalsRowFunction="custom" dataDxfId="130" totalsRowDxfId="129" dataCellStyle="Prosenttia">
      <calculatedColumnFormula>IFERROR(Vertailu[[#This Row],[Suoritusrahoituksen muutos, €]]/Vertailu[[#This Row],[Suoritusrahoitus 2020, €]],0)</calculatedColumnFormula>
      <totalsRowFormula>IFERROR(Vertailu[[#Totals],[Suoritusrahoituksen muutos, €]]/Vertailu[[#Totals],[Suoritusrahoitus 2020, €]],0)</totalsRowFormula>
    </tableColumn>
    <tableColumn id="50" name="Vaikuttavuusrahoitus 2020, €" totalsRowFunction="sum" dataDxfId="128" totalsRowDxfId="127">
      <calculatedColumnFormula>IFERROR(VLOOKUP(Vertailu[[#This Row],[Y-tunnus]],'Suoritepäätös 2020'!$Q:$AC,COLUMN('Suoritepäätös 2020'!K:K),FALSE),0)</calculatedColumnFormula>
    </tableColumn>
    <tableColumn id="51" name="Vaikuttavuusrahoitus 2021, €" totalsRowFunction="sum" dataDxfId="126" totalsRowDxfId="125">
      <calculatedColumnFormula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calculatedColumnFormula>
    </tableColumn>
    <tableColumn id="52" name="Vaikuttavuusrahoituksen muutos, €" totalsRowFunction="sum" dataDxfId="124" totalsRowDxfId="123">
      <calculatedColumnFormula>Vertailu[[#This Row],[Vaikuttavuusrahoitus 2021, €]]-Vertailu[[#This Row],[Vaikuttavuusrahoitus 2020, €]]</calculatedColumnFormula>
    </tableColumn>
    <tableColumn id="53" name="Vaikuttavuusrahoituksen muutos, %" totalsRowFunction="custom" dataDxfId="122" totalsRowDxfId="121" dataCellStyle="Prosenttia">
      <calculatedColumnFormula>IFERROR(Vertailu[[#This Row],[Vaikuttavuusrahoituksen muutos, €]]/Vertailu[[#This Row],[Vaikuttavuusrahoitus 2020, €]],0)</calculatedColumnFormula>
      <totalsRowFormula>IFERROR(Vertailu[[#Totals],[Vaikuttavuusrahoituksen muutos, €]]/Vertailu[[#Totals],[Vaikuttavuusrahoitus 2020, €]],0)</totalsRowFormula>
    </tableColumn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id="4" name="Maakunt." displayName="Maakunt." ref="A5:BG24" totalsRowCount="1" headerRowDxfId="120" dataDxfId="119" totalsRowDxfId="118">
  <autoFilter ref="A5:BG23"/>
  <tableColumns count="59">
    <tableColumn id="1" name="Maakunta" totalsRowLabel="Summa" dataDxfId="117" totalsRowDxfId="116"/>
    <tableColumn id="2" name="Järjestäjien kokonais-määrä" totalsRowFunction="sum" dataDxfId="115" totalsRowDxfId="114">
      <calculatedColumnFormula>COUNTIF(Ohj.lask.[Maakunta],Maakunt.[[#This Row],[Maakunta]])</calculatedColumnFormula>
    </tableColumn>
    <tableColumn id="50" name="Yksityinen" totalsRowFunction="sum" dataDxfId="113" totalsRowDxfId="112">
      <calculatedColumnFormula>COUNTIFS(Ohj.lask.[Maakunta],Maakunt.[[#This Row],[Maakunta]],Ohj.lask.[Omistajatyyppi],"=yksityinen")</calculatedColumnFormula>
    </tableColumn>
    <tableColumn id="3" name="Kunta" totalsRowFunction="sum" dataDxfId="111" totalsRowDxfId="110">
      <calculatedColumnFormula>COUNTIFS(Ohj.lask.[Maakunta],Maakunt.[[#This Row],[Maakunta]],Ohj.lask.[Omistajatyyppi],"=kunta")</calculatedColumnFormula>
    </tableColumn>
    <tableColumn id="4" name="Kunta-yhtymä" totalsRowFunction="sum" dataDxfId="109" totalsRowDxfId="108">
      <calculatedColumnFormula>COUNTIFS(Ohj.lask.[Maakunta],Maakunt.[[#This Row],[Maakunta]],Ohj.lask.[Omistajatyyppi],"=kuntayhtymä")</calculatedColumnFormula>
    </tableColumn>
    <tableColumn id="5" name="Järjestämisluvan opisk.vuosien vähimmäismäärä" totalsRowFunction="sum" dataDxfId="107" totalsRowDxfId="106">
      <calculatedColumnFormula>SUMIF(Ohj.lask.[Maakunta],Maakunt.[[#This Row],[Maakunta]],Ohj.lask.[Järjestämisluvan opisk.vuosien vähimmäismäärä])</calculatedColumnFormula>
    </tableColumn>
    <tableColumn id="6" name="Suoritepäätöksellä jaettavat opisk.vuodet (luvan ylittävä osuus)" totalsRowFunction="sum" dataDxfId="105" totalsRowDxfId="104">
      <calculatedColumnFormula>SUMIF(Ohj.lask.[Maakunta],Maakunt.[[#This Row],[Maakunta]],Ohj.lask.[Suoritepäätöksellä jaettavat opisk.vuodet (luvan ylittävä osuus)])</calculatedColumnFormula>
    </tableColumn>
    <tableColumn id="7" name="Tavoitteelliset opiskelija-vuodet" totalsRowFunction="sum" dataDxfId="103" totalsRowDxfId="102">
      <calculatedColumnFormula>SUMIF(Ohj.lask.[Maakunta],Maakunt.[[#This Row],[Maakunta]],Ohj.lask.[Tavoitteelliset opiskelija-vuodet])</calculatedColumnFormula>
    </tableColumn>
    <tableColumn id="8" name="Profiili-kerroin" totalsRowFunction="custom" dataDxfId="101" totalsRowDxfId="100">
      <calculatedColumnFormula>Maakunt.[[#This Row],[Painotetut opiskelija-vuodet]]/Maakunt.[[#This Row],[Tavoitteelliset opiskelija-vuodet]]</calculatedColumnFormula>
      <totalsRowFormula>Maakunt.[[#Totals],[Painotetut opiskelija-vuodet]]/Maakunt.[[#Totals],[Tavoitteelliset opiskelija-vuodet]]</totalsRowFormula>
    </tableColumn>
    <tableColumn id="9" name="Painotetut opiskelija-vuodet" totalsRowFunction="sum" dataDxfId="99" totalsRowDxfId="98">
      <calculatedColumnFormula>SUMIF(Ohj.lask.[Maakunta],Maakunt.[[#This Row],[Maakunta]],Ohj.lask.[Painotetut opiskelija-vuodet])</calculatedColumnFormula>
    </tableColumn>
    <tableColumn id="10" name="%-osuus 1" totalsRowFunction="sum" dataDxfId="97" totalsRowDxfId="96" dataCellStyle="Prosenttia">
      <calculatedColumnFormula>SUMIF(Ohj.lask.[Maakunta],Maakunt.[[#This Row],[Maakunta]],Ohj.lask.[%-osuus 1])</calculatedColumnFormula>
    </tableColumn>
    <tableColumn id="11" name="Jaettava € 1" totalsRowFunction="sum" dataDxfId="95" totalsRowDxfId="94">
      <calculatedColumnFormula>SUMIF(Ohj.lask.[Maakunta],Maakunt.[[#This Row],[Maakunta]],Ohj.lask.[Jaettava € 1])</calculatedColumnFormula>
    </tableColumn>
    <tableColumn id="12" name="Painotetut pisteet 2" totalsRowFunction="sum" dataDxfId="93" totalsRowDxfId="92">
      <calculatedColumnFormula>SUMIF(Ohj.lask.[Maakunta],Maakunt.[[#This Row],[Maakunta]],Ohj.lask.[Painotetut pisteet 2])</calculatedColumnFormula>
    </tableColumn>
    <tableColumn id="13" name="%-osuus 2" totalsRowFunction="sum" dataDxfId="91" totalsRowDxfId="90" dataCellStyle="Prosenttia">
      <calculatedColumnFormula>SUMIF(Ohj.lask.[Maakunta],Maakunt.[[#This Row],[Maakunta]],Ohj.lask.[%-osuus 2])</calculatedColumnFormula>
    </tableColumn>
    <tableColumn id="14" name="Jaettava € 2" totalsRowFunction="sum" dataDxfId="89" totalsRowDxfId="88">
      <calculatedColumnFormula>SUMIF(Ohj.lask.[Maakunta],Maakunt.[[#This Row],[Maakunta]],Ohj.lask.[Jaettava € 2])</calculatedColumnFormula>
    </tableColumn>
    <tableColumn id="15" name="Painotetut pisteet 3" totalsRowFunction="sum" dataDxfId="87" totalsRowDxfId="86">
      <calculatedColumnFormula>SUMIF(Ohj.lask.[Maakunta],Maakunt.[[#This Row],[Maakunta]],Ohj.lask.[Painotetut pisteet 3])</calculatedColumnFormula>
    </tableColumn>
    <tableColumn id="16" name="%-osuus 3" totalsRowFunction="sum" dataDxfId="85" totalsRowDxfId="84" dataCellStyle="Prosenttia">
      <calculatedColumnFormula>SUMIF(Ohj.lask.[Maakunta],Maakunt.[[#This Row],[Maakunta]],Ohj.lask.[%-osuus 3])</calculatedColumnFormula>
    </tableColumn>
    <tableColumn id="17" name="Jaettava € 3" totalsRowFunction="sum" dataDxfId="83" totalsRowDxfId="82">
      <calculatedColumnFormula>SUMIF(Ohj.lask.[Maakunta],Maakunt.[[#This Row],[Maakunta]],Ohj.lask.[Jaettava € 3])</calculatedColumnFormula>
    </tableColumn>
    <tableColumn id="18" name="Painotetut pisteet 4" totalsRowFunction="sum" dataDxfId="81" totalsRowDxfId="80">
      <calculatedColumnFormula>SUMIF(Ohj.lask.[Maakunta],Maakunt.[[#This Row],[Maakunta]],Ohj.lask.[Painotetut pisteet 4])</calculatedColumnFormula>
    </tableColumn>
    <tableColumn id="19" name="%-osuus 4" totalsRowFunction="sum" dataDxfId="79" totalsRowDxfId="78" dataCellStyle="Prosenttia">
      <calculatedColumnFormula>SUMIF(Ohj.lask.[Maakunta],Maakunt.[[#This Row],[Maakunta]],Ohj.lask.[%-osuus 4])</calculatedColumnFormula>
    </tableColumn>
    <tableColumn id="20" name="Jaettava € 4" totalsRowFunction="sum" dataDxfId="77" totalsRowDxfId="76">
      <calculatedColumnFormula>SUMIF(Ohj.lask.[Maakunta],Maakunt.[[#This Row],[Maakunta]],Ohj.lask.[Jaettava € 4])</calculatedColumnFormula>
    </tableColumn>
    <tableColumn id="21" name="Painotetut pisteet 5" totalsRowFunction="sum" dataDxfId="75" totalsRowDxfId="74">
      <calculatedColumnFormula>SUMIF(Ohj.lask.[Maakunta],Maakunt.[[#This Row],[Maakunta]],Ohj.lask.[Painotetut pisteet 5])</calculatedColumnFormula>
    </tableColumn>
    <tableColumn id="22" name="%-osuus 5" totalsRowFunction="sum" dataDxfId="73" totalsRowDxfId="72" dataCellStyle="Prosenttia">
      <calculatedColumnFormula>SUMIF(Ohj.lask.[Maakunta],Maakunt.[[#This Row],[Maakunta]],Ohj.lask.[%-osuus 5])</calculatedColumnFormula>
    </tableColumn>
    <tableColumn id="23" name="Jaettava € 5" totalsRowFunction="sum" dataDxfId="71" totalsRowDxfId="70">
      <calculatedColumnFormula>SUMIF(Ohj.lask.[Maakunta],Maakunt.[[#This Row],[Maakunta]],Ohj.lask.[Jaettava € 5])</calculatedColumnFormula>
    </tableColumn>
    <tableColumn id="24" name="%-osuus 6" totalsRowFunction="sum" dataDxfId="69" totalsRowDxfId="68" dataCellStyle="Prosenttia">
      <calculatedColumnFormula>SUMIF(Ohj.lask.[Maakunta],Maakunt.[[#This Row],[Maakunta]],Ohj.lask.[%-osuus 6])</calculatedColumnFormula>
    </tableColumn>
    <tableColumn id="25" name="Jaettava € 6" totalsRowFunction="sum" dataDxfId="67" totalsRowDxfId="66">
      <calculatedColumnFormula>SUMIF(Ohj.lask.[Maakunta],Maakunt.[[#This Row],[Maakunta]],Ohj.lask.[Jaettava € 6])</calculatedColumnFormula>
    </tableColumn>
    <tableColumn id="26" name="Hakemus, € 1" totalsRowFunction="sum" dataDxfId="65" totalsRowDxfId="64">
      <calculatedColumnFormula>SUMIF(Ohj.lask.[Maakunta],Maakunt.[[#This Row],[Maakunta]],Ohj.lask.[Hakemus, € 1])</calculatedColumnFormula>
    </tableColumn>
    <tableColumn id="27" name="Päätös, € 1" totalsRowFunction="sum" dataDxfId="63" totalsRowDxfId="62">
      <calculatedColumnFormula>SUMIF(Ohj.lask.[Maakunta],Maakunt.[[#This Row],[Maakunta]],Ohj.lask.[Päätös, € 1])</calculatedColumnFormula>
    </tableColumn>
    <tableColumn id="28" name="Hakemus, € 2" totalsRowFunction="sum" dataDxfId="61" totalsRowDxfId="60">
      <calculatedColumnFormula>SUMIF(Ohj.lask.[Maakunta],Maakunt.[[#This Row],[Maakunta]],Ohj.lask.[Hakemus, € 2])</calculatedColumnFormula>
    </tableColumn>
    <tableColumn id="29" name="Päätös, € 2" totalsRowFunction="sum" dataDxfId="59" totalsRowDxfId="58">
      <calculatedColumnFormula>SUMIF(Ohj.lask.[Maakunta],Maakunt.[[#This Row],[Maakunta]],Ohj.lask.[Päätös, € 2])</calculatedColumnFormula>
    </tableColumn>
    <tableColumn id="30" name="Hakemus, € 3" totalsRowFunction="sum" dataDxfId="57" totalsRowDxfId="56">
      <calculatedColumnFormula>SUMIF(Ohj.lask.[Maakunta],Maakunt.[[#This Row],[Maakunta]],Ohj.lask.[Hakemus, € 3])</calculatedColumnFormula>
    </tableColumn>
    <tableColumn id="31" name="Päätös, € 3" totalsRowFunction="sum" dataDxfId="55" totalsRowDxfId="54">
      <calculatedColumnFormula>SUMIF(Ohj.lask.[Maakunta],Maakunt.[[#This Row],[Maakunta]],Ohj.lask.[Päätös, € 3])</calculatedColumnFormula>
    </tableColumn>
    <tableColumn id="32" name="Hakemus, € 4" totalsRowFunction="sum" dataDxfId="53" totalsRowDxfId="52">
      <calculatedColumnFormula>SUMIF(Ohj.lask.[Maakunta],Maakunt.[[#This Row],[Maakunta]],Ohj.lask.[Hakemus, € 4])</calculatedColumnFormula>
    </tableColumn>
    <tableColumn id="33" name="Päätös, € 4" totalsRowFunction="sum" dataDxfId="51" totalsRowDxfId="50">
      <calculatedColumnFormula>SUMIF(Ohj.lask.[Maakunta],Maakunt.[[#This Row],[Maakunta]],Ohj.lask.[Päätös, € 4])</calculatedColumnFormula>
    </tableColumn>
    <tableColumn id="52" name="Hakemus, € 5" totalsRowFunction="sum" dataDxfId="49" totalsRowDxfId="48">
      <calculatedColumnFormula>SUMIF(Ohj.lask.[Maakunta],Maakunt.[[#This Row],[Maakunta]],Ohj.lask.[Hakemus, € 5])</calculatedColumnFormula>
    </tableColumn>
    <tableColumn id="51" name="Päätös, € 5" totalsRowFunction="sum" dataDxfId="47" totalsRowDxfId="46">
      <calculatedColumnFormula>SUMIF(Ohj.lask.[Maakunta],Maakunt.[[#This Row],[Maakunta]],Ohj.lask.[Päätös, € 5])</calculatedColumnFormula>
    </tableColumn>
    <tableColumn id="61" name="Hakemus, € 6" totalsRowFunction="custom" dataDxfId="45" totalsRowDxfId="44">
      <calculatedColumnFormula>SUMIF(Ohj.lask.[Maakunta],Maakunt.[[#This Row],[Maakunta]],Ohj.lask.[Hakemus, € 6])</calculatedColumnFormula>
      <totalsRowFormula>SUBTOTAL(109,Maakunt.[Hakemus, € 4])</totalsRowFormula>
    </tableColumn>
    <tableColumn id="60" name="Päätös, € 6" totalsRowFunction="custom" dataDxfId="43" totalsRowDxfId="42">
      <calculatedColumnFormula>SUMIF(Ohj.lask.[Maakunta],Maakunt.[[#This Row],[Maakunta]],Ohj.lask.[Päätös, € 6])</calculatedColumnFormula>
      <totalsRowFormula>SUBTOTAL(109,Maakunt.[Päätös, € 4])</totalsRowFormula>
    </tableColumn>
    <tableColumn id="59" name="Hakemus, € 7" totalsRowFunction="custom" dataDxfId="41" totalsRowDxfId="40">
      <calculatedColumnFormula>SUMIF(Ohj.lask.[Maakunta],Maakunt.[[#This Row],[Maakunta]],Ohj.lask.[Hakemus, € 7])</calculatedColumnFormula>
      <totalsRowFormula>SUBTOTAL(109,Maakunt.[Hakemus, € 5])</totalsRowFormula>
    </tableColumn>
    <tableColumn id="58" name="Päätös, € 7" totalsRowFunction="custom" dataDxfId="39" totalsRowDxfId="38">
      <calculatedColumnFormula>SUMIF(Ohj.lask.[Maakunta],Maakunt.[[#This Row],[Maakunta]],Ohj.lask.[Päätös, € 7])</calculatedColumnFormula>
      <totalsRowFormula>SUBTOTAL(109,Maakunt.[Päätös, € 5])</totalsRowFormula>
    </tableColumn>
    <tableColumn id="47" name="Hakemus, € 8" totalsRowFunction="sum" dataDxfId="37" totalsRowDxfId="36">
      <calculatedColumnFormula>SUMIF(Ohj.lask.[Maakunta],Maakunt.[[#This Row],[Maakunta]],Ohj.lask.[Hakemus, € 8])</calculatedColumnFormula>
    </tableColumn>
    <tableColumn id="45" name="Päätös, € 8" totalsRowFunction="sum" dataDxfId="35" totalsRowDxfId="34">
      <calculatedColumnFormula>SUMIF(Ohj.lask.[Maakunta],Maakunt.[[#This Row],[Maakunta]],Ohj.lask.[Päätös, € 8])</calculatedColumnFormula>
    </tableColumn>
    <tableColumn id="34" name="Hakemus, € 9" totalsRowFunction="sum" dataDxfId="33" totalsRowDxfId="32">
      <calculatedColumnFormula>Maakunt.[[#This Row],[Hakemus, € 1]]+Maakunt.[[#This Row],[Hakemus, € 2]]+Maakunt.[[#This Row],[Hakemus, € 3]]+Maakunt.[[#This Row],[Hakemus, € 4]]+Maakunt.[[#This Row],[Hakemus, € 5]]+Maakunt.[[#This Row],[Hakemus, € 6]]+Maakunt.[[#This Row],[Hakemus, € 7]]+Maakunt.[[#This Row],[Hakemus, € 8]]</calculatedColumnFormula>
    </tableColumn>
    <tableColumn id="35" name="Päätös, € 9" totalsRowFunction="sum" dataDxfId="31" totalsRowDxfId="30">
      <calculatedColumnFormula>Maakunt.[[#This Row],[Päätös, € 1]]+Maakunt.[[#This Row],[Päätös, € 2]]+Maakunt.[[#This Row],[Päätös, € 3]]+Maakunt.[[#This Row],[Päätös, € 4]]+Maakunt.[[#This Row],[Päätös, € 5]]+Maakunt.[[#This Row],[Päätös, € 6]]+Maakunt.[[#This Row],[Päätös, € 7]]+Maakunt.[[#This Row],[Päätös, € 8]]</calculatedColumnFormula>
    </tableColumn>
    <tableColumn id="36" name="Suoriteperusteinen (opiskelijavuosiin perustuva) sekä harkinnanvarainen korotus, €" totalsRowFunction="sum" dataDxfId="29" totalsRowDxfId="28">
      <calculatedColumnFormula>SUMIF(Ohj.lask.[Maakunta],Maakunt.[[#This Row],[Maakunta]],Ohj.lask.[Suoriteperusteinen (opiskelijavuosiin perustuva) sekä harkinnanvarainen korotus, €])</calculatedColumnFormula>
    </tableColumn>
    <tableColumn id="54" name="Suoritusrahoitus, €" totalsRowFunction="sum" dataDxfId="27" totalsRowDxfId="26">
      <calculatedColumnFormula>SUMIF(Ohj.lask.[Maakunta],Maakunt.[[#This Row],[Maakunta]],Ohj.lask.[Suoritusrahoitus, €])</calculatedColumnFormula>
    </tableColumn>
    <tableColumn id="53" name="Työllistymiseen ja jatko-opintoihin siirtymiseen perustuva sekä opiskelija-palautteisiin perustuva, €" totalsRowFunction="sum" dataDxfId="25" totalsRowDxfId="24">
      <calculatedColumnFormula>SUMIF(Ohj.lask.[Maakunta],Maakunt.[[#This Row],[Maakunta]],Ohj.lask.[Työllistymiseen ja jatko-opintoihin siirtymiseen perustuva sekä opiskelija-palautteisiin perustuva, €])</calculatedColumnFormula>
    </tableColumn>
    <tableColumn id="37" name="Perus-, suoritus- ja vaikuttavuusrahoitus yhteensä, €" totalsRowFunction="sum" dataDxfId="23" totalsRowDxfId="22">
      <calculatedColumnFormula>SUMIF(Ohj.lask.[Maakunta],Maakunt.[[#This Row],[Maakunta]],Ohj.lask.[Perus-, suoritus- ja vaikuttavuusrahoitus yhteensä, €])</calculatedColumnFormula>
    </tableColumn>
    <tableColumn id="57" name="Suorite-perusteinen perusrahoitus (pl. hark. kor.)" totalsRowFunction="custom" dataDxfId="21" totalsRowDxfId="20" dataCellStyle="Prosenttia">
      <calculatedColumnFormula>Maakunt.[[#This Row],[Jaettava € 1]]/Maakunt.[[#This Row],[Perus-, suoritus- ja vaikuttavuusrahoitus yhteensä, €]]</calculatedColumnFormula>
      <totalsRowFormula>Maakunt.[[#Totals],[Jaettava € 1]]/Maakunt.[[#Totals],[Perus-, suoritus- ja vaikuttavuusrahoitus yhteensä, €]]</totalsRowFormula>
    </tableColumn>
    <tableColumn id="39" name="Perusrahoitus yhteensä (ml. hark. kor.)" totalsRowFunction="custom" dataDxfId="19" totalsRowDxfId="18" dataCellStyle="Prosenttia">
      <calculatedColumnFormula>Maakunt.[[#This Row],[Suoriteperusteinen (opiskelijavuosiin perustuva) sekä harkinnanvarainen korotus, €]]/Maakunt.[[#This Row],[Perus-, suoritus- ja vaikuttavuusrahoitus yhteensä, €]]</calculatedColumnFormula>
      <totalsRowFormula>Maakunt.[[#Totals],[Suoriteperusteinen (opiskelijavuosiin perustuva) sekä harkinnanvarainen korotus, €]]/Maakunt.[[#Totals],[Perus-, suoritus- ja vaikuttavuusrahoitus yhteensä, €]]</totalsRowFormula>
    </tableColumn>
    <tableColumn id="40" name="Suoritus-rahoitus" totalsRowFunction="custom" dataDxfId="17" totalsRowDxfId="16" dataCellStyle="Prosenttia">
      <calculatedColumnFormula>Maakunt.[[#This Row],[Suoritusrahoitus, €]]/Maakunt.[[#This Row],[Perus-, suoritus- ja vaikuttavuusrahoitus yhteensä, €]]</calculatedColumnFormula>
      <totalsRowFormula>Maakunt.[[#Totals],[Suoritusrahoitus, €]]/Maakunt.[[#Totals],[Perus-, suoritus- ja vaikuttavuusrahoitus yhteensä, €]]</totalsRowFormula>
    </tableColumn>
    <tableColumn id="41" name="Vaikuttavuus-rahoitus yhteensä" totalsRowFunction="custom" dataDxfId="15" totalsRowDxfId="14" dataCellStyle="Prosenttia">
      <calculatedColumnFormula>Maakunt.[[#This Row],[Työllistymiseen ja jatko-opintoihin siirtymiseen perustuva sekä opiskelija-palautteisiin perustuva, €]]/Maakunt.[[#This Row],[Perus-, suoritus- ja vaikuttavuusrahoitus yhteensä, €]]</calculatedColumnFormula>
      <totalsRowFormula>Maakunt.[[#Totals],[Työllistymiseen ja jatko-opintoihin siirtymiseen perustuva sekä opiskelija-palautteisiin perustuva, €]]/Maakunt.[[#Totals],[Perus-, suoritus- ja vaikuttavuusrahoitus yhteensä, €]]</totalsRowFormula>
    </tableColumn>
    <tableColumn id="42" name="-josta työllistyneet ja jatko-opiskelijat" totalsRowFunction="custom" dataDxfId="13" totalsRowDxfId="12" dataCellStyle="Prosenttia">
      <calculatedColumnFormula>SUMIF(Ohj.lask.[Maakunta],Maakunt.[[#This Row],[Maakunta]],Ohj.lask.[Jaettava € 3])/Maakunt.[[#This Row],[Perus-, suoritus- ja vaikuttavuusrahoitus yhteensä, €]]</calculatedColumnFormula>
      <totalsRowFormula>Ohj.lask.[[#Totals],[Jaettava € 3]]/Ohj.lask.[[#Totals],[Perus-, suoritus- ja vaikuttavuusrahoitus yhteensä, €]]</totalsRowFormula>
    </tableColumn>
    <tableColumn id="43" name="-josta aloittaneet opiskelija-palaute" totalsRowFunction="custom" dataDxfId="11" totalsRowDxfId="10" dataCellStyle="Prosenttia">
      <calculatedColumnFormula>SUMIF(Ohj.lask.[Maakunta],Maakunt.[[#This Row],[Maakunta]],Ohj.lask.[Jaettava € 4])/Maakunt.[[#This Row],[Perus-, suoritus- ja vaikuttavuusrahoitus yhteensä, €]]</calculatedColumnFormula>
      <totalsRowFormula>Ohj.lask.[[#Totals],[Jaettava € 4]]/Ohj.lask.[[#Totals],[Perus-, suoritus- ja vaikuttavuusrahoitus yhteensä, €]]</totalsRowFormula>
    </tableColumn>
    <tableColumn id="44" name="-josta päättäneet opiskelija-palaute" totalsRowFunction="custom" dataDxfId="9" totalsRowDxfId="8" dataCellStyle="Prosenttia">
      <calculatedColumnFormula>SUMIF(Ohj.lask.[Maakunta],Maakunt.[[#This Row],[Maakunta]],Ohj.lask.[Jaettava € 5])/Maakunt.[[#This Row],[Perus-, suoritus- ja vaikuttavuusrahoitus yhteensä, €]]</calculatedColumnFormula>
      <totalsRowFormula>Ohj.lask.[[#Totals],[Jaettava € 5]]/Ohj.lask.[[#Totals],[Perus-, suoritus- ja vaikuttavuusrahoitus yhteensä, €]]</totalsRowFormula>
    </tableColumn>
    <tableColumn id="46" name="Rahoitus ml. hark. kor. _x000a_2020 ilman alv, €" totalsRowFunction="sum" dataDxfId="7" totalsRowDxfId="6">
      <calculatedColumnFormula>SUMIF(Vertailu[Maakunta],Maakunt.[[#This Row],[Maakunta]],Vertailu[Rahoitus ml. hark. kor. 
2020 ilman alv, €])</calculatedColumnFormula>
    </tableColumn>
    <tableColumn id="55" name="Rahoitus ml. hark. kor. _x000a_2021 ilman alv, €" totalsRowFunction="sum" dataDxfId="5" totalsRowDxfId="4">
      <calculatedColumnFormula>SUMIF(Vertailu[Maakunta],Maakunt.[[#This Row],[Maakunta]],Vertailu[Rahoitus ml. hark. kor. 
2021 ilman alv, €])</calculatedColumnFormula>
    </tableColumn>
    <tableColumn id="48" name="Muutos, € 2" totalsRowFunction="sum" dataDxfId="3" totalsRowDxfId="2">
      <calculatedColumnFormula>SUMIF(Vertailu[Maakunta],Maakunt.[[#This Row],[Maakunta]],Vertailu[Muutos, € 2])</calculatedColumnFormula>
    </tableColumn>
    <tableColumn id="49" name="Muutos, % 2" totalsRowFunction="custom" dataDxfId="1" totalsRowDxfId="0" dataCellStyle="Prosenttia">
      <calculatedColumnFormula>IFERROR(Maakunt.[[#This Row],[Muutos, € 2]]/Maakunt.[[#This Row],[Rahoitus ml. hark. kor. 
2020 ilman alv, €]],0)</calculatedColumnFormula>
      <totalsRowFormula>IFERROR(Maakunt.[[#Totals],[Muutos, € 2]]/Maakunt.[[#Totals],[Rahoitus ml. hark. kor. 
2020 ilman alv, €]],0)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vipunen.fi/fi-fi/_layouts/15/xlviewer.aspx?id=/fi-fi/Raportit/Ammatillinenkoulutus%20-%20opiskelijapalaute%20-%20rahoitusmalli-%20p%C3%A4ttt%C3%B6kysely.xlsb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vipunen.fi/fi-fi/_layouts/15/xlviewer.aspx?id=/fi-fi/Raportit/Koski%20opiskelijavuodet.xlsb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vipunen.fi/fi-fi/_layouts/15/xlviewer.aspx?id=/fi-fi/Raportit/Koski%20tutkinnot%20ja%20tutkinnon%20osat%20painotetut.xlsb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vipunen.fi/fi-fi/_layouts/15/xlviewer.aspx?id=/fi-fi/Raportit/Rahoitusperusteraportti%20(ty%C3%B6llistyneet%20ja%20jatko-opiskelijat).xlsb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vipunen.fi/fi-fi/_layouts/15/xlviewer.aspx?id=/fi-fi/Raportit/Ammatillinen%20koulutus%20-%20opiskelijapalaute%20-%20rahoitusmalli%20-%20aloituskysely.xlsb" TargetMode="External"/><Relationship Id="rId1" Type="http://schemas.openxmlformats.org/officeDocument/2006/relationships/hyperlink" Target="https://vipunen.fi/fi-fi/_layouts/15/xlviewer.aspx?id=/fi-fi/Raportit/Ammatillinen%20koulutus%20-%20opiskelijapalaute%20-%20rahoitusmalli%20-%20aloituskysely.xls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ColWidth="8.7109375" defaultRowHeight="15" x14ac:dyDescent="0.25"/>
  <cols>
    <col min="1" max="19" width="8.7109375" style="201"/>
    <col min="20" max="20" width="9.28515625" style="201" customWidth="1"/>
    <col min="21" max="16384" width="8.7109375" style="201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8">
    <tabColor theme="9" tint="0.59999389629810485"/>
  </sheetPr>
  <dimension ref="A1:AC145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12.28515625" customWidth="1"/>
    <col min="2" max="2" width="38" customWidth="1"/>
    <col min="3" max="29" width="17.42578125" customWidth="1"/>
  </cols>
  <sheetData>
    <row r="1" spans="1:29" ht="19.5" x14ac:dyDescent="0.3">
      <c r="A1" s="136" t="s">
        <v>629</v>
      </c>
      <c r="B1" s="4"/>
    </row>
    <row r="2" spans="1:29" x14ac:dyDescent="0.25">
      <c r="A2" s="12" t="s">
        <v>628</v>
      </c>
      <c r="B2" s="1"/>
      <c r="C2" s="177"/>
      <c r="D2" s="2"/>
      <c r="E2" s="2"/>
      <c r="F2" s="2"/>
      <c r="G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9" ht="15" customHeight="1" x14ac:dyDescent="0.25">
      <c r="A3" s="178"/>
      <c r="B3" s="121"/>
      <c r="C3" s="216" t="s">
        <v>12</v>
      </c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</row>
    <row r="4" spans="1:29" ht="15" customHeight="1" x14ac:dyDescent="0.25">
      <c r="A4" s="179"/>
      <c r="B4" s="122"/>
      <c r="C4" s="320" t="s">
        <v>144</v>
      </c>
      <c r="D4" s="320"/>
      <c r="E4" s="320"/>
      <c r="F4" s="320"/>
      <c r="G4" s="320"/>
      <c r="H4" s="320"/>
      <c r="I4" s="320"/>
      <c r="J4" s="320"/>
      <c r="K4" s="320"/>
      <c r="L4" s="320" t="s">
        <v>145</v>
      </c>
      <c r="M4" s="320"/>
      <c r="N4" s="320"/>
      <c r="O4" s="320"/>
      <c r="P4" s="320"/>
      <c r="Q4" s="320"/>
      <c r="R4" s="320"/>
      <c r="S4" s="320"/>
      <c r="T4" s="320"/>
      <c r="U4" s="320" t="s">
        <v>494</v>
      </c>
      <c r="V4" s="320" t="s">
        <v>495</v>
      </c>
      <c r="W4" s="320" t="s">
        <v>496</v>
      </c>
      <c r="X4" s="320" t="s">
        <v>541</v>
      </c>
      <c r="Y4" s="320" t="s">
        <v>497</v>
      </c>
      <c r="Z4" s="320" t="s">
        <v>498</v>
      </c>
      <c r="AA4" s="320" t="s">
        <v>499</v>
      </c>
      <c r="AB4" s="320" t="s">
        <v>542</v>
      </c>
      <c r="AC4" s="320" t="s">
        <v>543</v>
      </c>
    </row>
    <row r="5" spans="1:29" ht="24" customHeight="1" x14ac:dyDescent="0.25">
      <c r="A5" s="140" t="s">
        <v>12</v>
      </c>
      <c r="B5" s="123"/>
      <c r="C5" s="217" t="s">
        <v>485</v>
      </c>
      <c r="D5" s="217" t="s">
        <v>486</v>
      </c>
      <c r="E5" s="217" t="s">
        <v>487</v>
      </c>
      <c r="F5" s="217" t="s">
        <v>488</v>
      </c>
      <c r="G5" s="217" t="s">
        <v>489</v>
      </c>
      <c r="H5" s="217" t="s">
        <v>490</v>
      </c>
      <c r="I5" s="217" t="s">
        <v>491</v>
      </c>
      <c r="J5" s="217" t="s">
        <v>492</v>
      </c>
      <c r="K5" s="217" t="s">
        <v>493</v>
      </c>
      <c r="L5" s="217" t="s">
        <v>485</v>
      </c>
      <c r="M5" s="217" t="s">
        <v>486</v>
      </c>
      <c r="N5" s="217" t="s">
        <v>487</v>
      </c>
      <c r="O5" s="217" t="s">
        <v>488</v>
      </c>
      <c r="P5" s="217" t="s">
        <v>489</v>
      </c>
      <c r="Q5" s="217" t="s">
        <v>490</v>
      </c>
      <c r="R5" s="217" t="s">
        <v>491</v>
      </c>
      <c r="S5" s="217" t="s">
        <v>492</v>
      </c>
      <c r="T5" s="217" t="s">
        <v>493</v>
      </c>
      <c r="U5" s="320"/>
      <c r="V5" s="320"/>
      <c r="W5" s="320"/>
      <c r="X5" s="320"/>
      <c r="Y5" s="320"/>
      <c r="Z5" s="320"/>
      <c r="AA5" s="320"/>
      <c r="AB5" s="320"/>
      <c r="AC5" s="320"/>
    </row>
    <row r="6" spans="1:29" ht="14.45" customHeight="1" x14ac:dyDescent="0.25">
      <c r="A6" s="205" t="s">
        <v>340</v>
      </c>
      <c r="B6" s="119" t="e">
        <f>VLOOKUP(A6,#REF!,2,FALSE)</f>
        <v>#REF!</v>
      </c>
      <c r="C6" s="202">
        <v>22</v>
      </c>
      <c r="D6" s="202">
        <v>19</v>
      </c>
      <c r="E6" s="210">
        <v>0.86363636363636365</v>
      </c>
      <c r="F6" s="211"/>
      <c r="G6" s="212">
        <v>4.1359649122807021</v>
      </c>
      <c r="H6" s="212">
        <v>0.93373680436270745</v>
      </c>
      <c r="I6" s="202">
        <v>943</v>
      </c>
      <c r="J6" s="202">
        <v>3275.6842105263158</v>
      </c>
      <c r="K6" s="204">
        <v>4.0345878472185069E-4</v>
      </c>
      <c r="L6" s="211"/>
      <c r="M6" s="211"/>
      <c r="N6" s="211"/>
      <c r="O6" s="211"/>
      <c r="P6" s="211"/>
      <c r="Q6" s="211"/>
      <c r="R6" s="211"/>
      <c r="S6" s="211"/>
      <c r="T6" s="211"/>
      <c r="U6" s="202">
        <v>22</v>
      </c>
      <c r="V6" s="202">
        <v>19</v>
      </c>
      <c r="W6" s="210">
        <v>0.86363636363636365</v>
      </c>
      <c r="X6" s="211"/>
      <c r="Y6" s="212">
        <v>4.1359649122807021</v>
      </c>
      <c r="Z6" s="212">
        <v>0.93373680436270745</v>
      </c>
      <c r="AA6" s="202">
        <v>943</v>
      </c>
      <c r="AB6" s="202">
        <v>3275.6842105263158</v>
      </c>
      <c r="AC6" s="204">
        <v>3.799470735632758E-4</v>
      </c>
    </row>
    <row r="7" spans="1:29" ht="14.45" customHeight="1" x14ac:dyDescent="0.25">
      <c r="A7" s="205" t="s">
        <v>264</v>
      </c>
      <c r="B7" s="119" t="e">
        <f>VLOOKUP(A7,#REF!,2,FALSE)</f>
        <v>#REF!</v>
      </c>
      <c r="C7" s="202">
        <v>5</v>
      </c>
      <c r="D7" s="202">
        <v>3</v>
      </c>
      <c r="E7" s="210">
        <v>0.6</v>
      </c>
      <c r="F7" s="211"/>
      <c r="G7" s="212">
        <v>4.2777777777777777</v>
      </c>
      <c r="H7" s="212">
        <v>0.83702884296218671</v>
      </c>
      <c r="I7" s="202">
        <v>154</v>
      </c>
      <c r="J7" s="202">
        <v>754.24800000000005</v>
      </c>
      <c r="K7" s="204">
        <v>9.2899059219750664E-5</v>
      </c>
      <c r="L7" s="211"/>
      <c r="M7" s="211"/>
      <c r="N7" s="211"/>
      <c r="O7" s="211"/>
      <c r="P7" s="211"/>
      <c r="Q7" s="211"/>
      <c r="R7" s="211"/>
      <c r="S7" s="211"/>
      <c r="T7" s="211"/>
      <c r="U7" s="202">
        <v>5</v>
      </c>
      <c r="V7" s="202">
        <v>3</v>
      </c>
      <c r="W7" s="210">
        <v>0.6</v>
      </c>
      <c r="X7" s="211"/>
      <c r="Y7" s="212">
        <v>4.2777777777777777</v>
      </c>
      <c r="Z7" s="212">
        <v>0.83702884296218671</v>
      </c>
      <c r="AA7" s="202">
        <v>154</v>
      </c>
      <c r="AB7" s="202">
        <v>754.24800000000005</v>
      </c>
      <c r="AC7" s="204">
        <v>8.7485331894953557E-5</v>
      </c>
    </row>
    <row r="8" spans="1:29" ht="14.45" customHeight="1" x14ac:dyDescent="0.25">
      <c r="A8" s="205" t="s">
        <v>229</v>
      </c>
      <c r="B8" s="119" t="e">
        <f>VLOOKUP(A8,#REF!,2,FALSE)</f>
        <v>#REF!</v>
      </c>
      <c r="C8" s="202">
        <v>812</v>
      </c>
      <c r="D8" s="202">
        <v>581</v>
      </c>
      <c r="E8" s="210">
        <v>0.71551724137931039</v>
      </c>
      <c r="F8" s="211"/>
      <c r="G8" s="212">
        <v>4.2250712250712255</v>
      </c>
      <c r="H8" s="212">
        <v>0.92760662716263731</v>
      </c>
      <c r="I8" s="202">
        <v>29457.196581196582</v>
      </c>
      <c r="J8" s="202">
        <v>123507.28205128205</v>
      </c>
      <c r="K8" s="204">
        <v>1.5212118970620405E-2</v>
      </c>
      <c r="L8" s="202">
        <v>342</v>
      </c>
      <c r="M8" s="202">
        <v>333</v>
      </c>
      <c r="N8" s="210">
        <v>0.97368421052631582</v>
      </c>
      <c r="O8" s="211"/>
      <c r="P8" s="212">
        <v>4.0743243243243246</v>
      </c>
      <c r="Q8" s="212">
        <v>1.0347957388490039</v>
      </c>
      <c r="R8" s="202">
        <v>16281</v>
      </c>
      <c r="S8" s="202">
        <v>16721.027027027027</v>
      </c>
      <c r="T8" s="204">
        <v>3.3281198972867972E-2</v>
      </c>
      <c r="U8" s="202">
        <v>1154</v>
      </c>
      <c r="V8" s="202">
        <v>914</v>
      </c>
      <c r="W8" s="210">
        <v>0.79202772963604851</v>
      </c>
      <c r="X8" s="211"/>
      <c r="Y8" s="212">
        <v>4.170388525780683</v>
      </c>
      <c r="Z8" s="212">
        <v>0.9705719297580192</v>
      </c>
      <c r="AA8" s="202">
        <v>49900.703262356714</v>
      </c>
      <c r="AB8" s="202">
        <v>140228.30907830907</v>
      </c>
      <c r="AC8" s="204">
        <v>1.6265101347015833E-2</v>
      </c>
    </row>
    <row r="9" spans="1:29" ht="14.45" customHeight="1" x14ac:dyDescent="0.25">
      <c r="A9" s="205" t="s">
        <v>335</v>
      </c>
      <c r="B9" s="119" t="e">
        <f>VLOOKUP(A9,#REF!,2,FALSE)</f>
        <v>#REF!</v>
      </c>
      <c r="C9" s="202">
        <v>15</v>
      </c>
      <c r="D9" s="202">
        <v>10</v>
      </c>
      <c r="E9" s="210">
        <v>0.66666666666666663</v>
      </c>
      <c r="F9" s="211"/>
      <c r="G9" s="212">
        <v>4.307291666666667</v>
      </c>
      <c r="H9" s="212">
        <v>0.78683765686695861</v>
      </c>
      <c r="I9" s="202">
        <v>516.875</v>
      </c>
      <c r="J9" s="202">
        <v>2320.6210714285717</v>
      </c>
      <c r="K9" s="204">
        <v>2.8582576863477808E-4</v>
      </c>
      <c r="L9" s="202">
        <v>5</v>
      </c>
      <c r="M9" s="202">
        <v>4</v>
      </c>
      <c r="N9" s="210">
        <v>0.8</v>
      </c>
      <c r="O9" s="211"/>
      <c r="P9" s="212">
        <v>4.0666666666666664</v>
      </c>
      <c r="Q9" s="212">
        <v>0.83399973354645485</v>
      </c>
      <c r="R9" s="202">
        <v>195.20000000000002</v>
      </c>
      <c r="S9" s="202">
        <v>244</v>
      </c>
      <c r="T9" s="204">
        <v>4.856527374935784E-4</v>
      </c>
      <c r="U9" s="202">
        <v>20</v>
      </c>
      <c r="V9" s="202">
        <v>14</v>
      </c>
      <c r="W9" s="210">
        <v>0.7</v>
      </c>
      <c r="X9" s="211"/>
      <c r="Y9" s="212">
        <v>4.25</v>
      </c>
      <c r="Z9" s="212">
        <v>0.80487108304215937</v>
      </c>
      <c r="AA9" s="202">
        <v>882.61224489795927</v>
      </c>
      <c r="AB9" s="202">
        <v>2564.6210714285717</v>
      </c>
      <c r="AC9" s="204">
        <v>2.9747075977492807E-4</v>
      </c>
    </row>
    <row r="10" spans="1:29" ht="14.45" customHeight="1" x14ac:dyDescent="0.25">
      <c r="A10" s="205" t="s">
        <v>273</v>
      </c>
      <c r="B10" s="119" t="e">
        <f>VLOOKUP(A10,#REF!,2,FALSE)</f>
        <v>#REF!</v>
      </c>
      <c r="C10" s="202">
        <v>721</v>
      </c>
      <c r="D10" s="202">
        <v>379</v>
      </c>
      <c r="E10" s="210">
        <v>0.52565880721220526</v>
      </c>
      <c r="F10" s="211"/>
      <c r="G10" s="212">
        <v>4.3274122807017541</v>
      </c>
      <c r="H10" s="212">
        <v>0.9068662865073166</v>
      </c>
      <c r="I10" s="202">
        <v>19681.071052631578</v>
      </c>
      <c r="J10" s="202">
        <v>105346.52235268267</v>
      </c>
      <c r="K10" s="204">
        <v>1.2975298335078985E-2</v>
      </c>
      <c r="L10" s="202">
        <v>121</v>
      </c>
      <c r="M10" s="202">
        <v>37</v>
      </c>
      <c r="N10" s="210">
        <v>0.30578512396694213</v>
      </c>
      <c r="O10" s="211"/>
      <c r="P10" s="212">
        <v>4.4369369369369371</v>
      </c>
      <c r="Q10" s="212">
        <v>0.87409442744769927</v>
      </c>
      <c r="R10" s="202">
        <v>1970</v>
      </c>
      <c r="S10" s="202">
        <v>4398.556458087367</v>
      </c>
      <c r="T10" s="204">
        <v>8.75479911840241E-3</v>
      </c>
      <c r="U10" s="202">
        <v>842</v>
      </c>
      <c r="V10" s="202">
        <v>416</v>
      </c>
      <c r="W10" s="210">
        <v>0.49406175771971494</v>
      </c>
      <c r="X10" s="211"/>
      <c r="Y10" s="212">
        <v>4.337130295763389</v>
      </c>
      <c r="Z10" s="212">
        <v>0.90454280167683687</v>
      </c>
      <c r="AA10" s="202">
        <v>33630.273416405966</v>
      </c>
      <c r="AB10" s="202">
        <v>109745.07881077004</v>
      </c>
      <c r="AC10" s="204">
        <v>1.2729347169098295E-2</v>
      </c>
    </row>
    <row r="11" spans="1:29" ht="14.45" customHeight="1" x14ac:dyDescent="0.25">
      <c r="A11" s="205" t="s">
        <v>244</v>
      </c>
      <c r="B11" s="119" t="e">
        <f>VLOOKUP(A11,#REF!,2,FALSE)</f>
        <v>#REF!</v>
      </c>
      <c r="C11" s="202">
        <v>513</v>
      </c>
      <c r="D11" s="202">
        <v>193</v>
      </c>
      <c r="E11" s="210">
        <v>0.37621832358674462</v>
      </c>
      <c r="F11" s="211"/>
      <c r="G11" s="212">
        <v>4.2331838565022419</v>
      </c>
      <c r="H11" s="212">
        <v>1.0097605262916944</v>
      </c>
      <c r="I11" s="202">
        <v>9804.0538116591924</v>
      </c>
      <c r="J11" s="202">
        <v>61444.536108702254</v>
      </c>
      <c r="K11" s="204">
        <v>7.5679877158341003E-3</v>
      </c>
      <c r="L11" s="202">
        <v>386</v>
      </c>
      <c r="M11" s="202">
        <v>168</v>
      </c>
      <c r="N11" s="210">
        <v>0.43523316062176165</v>
      </c>
      <c r="O11" s="211"/>
      <c r="P11" s="212">
        <v>4.4042658730158726</v>
      </c>
      <c r="Q11" s="212">
        <v>0.95782163189076774</v>
      </c>
      <c r="R11" s="202">
        <v>8879</v>
      </c>
      <c r="S11" s="202">
        <v>17480.049838638046</v>
      </c>
      <c r="T11" s="204">
        <v>3.4791942851060451E-2</v>
      </c>
      <c r="U11" s="202">
        <v>899</v>
      </c>
      <c r="V11" s="202">
        <v>361</v>
      </c>
      <c r="W11" s="210">
        <v>0.40155728587319245</v>
      </c>
      <c r="X11" s="211"/>
      <c r="Y11" s="212">
        <v>4.3066922421142371</v>
      </c>
      <c r="Z11" s="212">
        <v>0.99140271336510377</v>
      </c>
      <c r="AA11" s="202">
        <v>21888.282794716612</v>
      </c>
      <c r="AB11" s="202">
        <v>78924.585947340296</v>
      </c>
      <c r="AC11" s="204">
        <v>9.1544738551177507E-3</v>
      </c>
    </row>
    <row r="12" spans="1:29" ht="14.45" customHeight="1" x14ac:dyDescent="0.25">
      <c r="A12" s="205" t="s">
        <v>337</v>
      </c>
      <c r="B12" s="119" t="e">
        <f>VLOOKUP(A12,#REF!,2,FALSE)</f>
        <v>#REF!</v>
      </c>
      <c r="C12" s="202">
        <v>167</v>
      </c>
      <c r="D12" s="202">
        <v>116</v>
      </c>
      <c r="E12" s="210">
        <v>0.69461077844311381</v>
      </c>
      <c r="F12" s="211"/>
      <c r="G12" s="212">
        <v>4.2960704607046072</v>
      </c>
      <c r="H12" s="212">
        <v>0.91272886971719758</v>
      </c>
      <c r="I12" s="202">
        <v>5980.1300813008129</v>
      </c>
      <c r="J12" s="202">
        <v>25826.36578505706</v>
      </c>
      <c r="K12" s="204">
        <v>3.1809763956907517E-3</v>
      </c>
      <c r="L12" s="202">
        <v>44</v>
      </c>
      <c r="M12" s="202">
        <v>7</v>
      </c>
      <c r="N12" s="210">
        <v>0.15909090909090909</v>
      </c>
      <c r="O12" s="211"/>
      <c r="P12" s="212">
        <v>4.4642857142857144</v>
      </c>
      <c r="Q12" s="212">
        <v>1.0740048391687163</v>
      </c>
      <c r="R12" s="202">
        <v>375</v>
      </c>
      <c r="S12" s="202">
        <v>918.21428571428567</v>
      </c>
      <c r="T12" s="204">
        <v>1.827595415831367E-3</v>
      </c>
      <c r="U12" s="202">
        <v>211</v>
      </c>
      <c r="V12" s="202">
        <v>123</v>
      </c>
      <c r="W12" s="210">
        <v>0.58293838862559244</v>
      </c>
      <c r="X12" s="211"/>
      <c r="Y12" s="212">
        <v>4.3051282051282049</v>
      </c>
      <c r="Z12" s="212">
        <v>0.92291309087423679</v>
      </c>
      <c r="AA12" s="202">
        <v>11299.950769230769</v>
      </c>
      <c r="AB12" s="202">
        <v>26744.580070771346</v>
      </c>
      <c r="AC12" s="204">
        <v>3.1021076143159698E-3</v>
      </c>
    </row>
    <row r="13" spans="1:29" ht="14.45" customHeight="1" x14ac:dyDescent="0.25">
      <c r="A13" s="205" t="s">
        <v>315</v>
      </c>
      <c r="B13" s="119" t="e">
        <f>VLOOKUP(A13,#REF!,2,FALSE)</f>
        <v>#REF!</v>
      </c>
      <c r="C13" s="202">
        <v>8</v>
      </c>
      <c r="D13" s="202">
        <v>5</v>
      </c>
      <c r="E13" s="210">
        <v>0.625</v>
      </c>
      <c r="F13" s="211"/>
      <c r="G13" s="212">
        <v>4.1833333333333336</v>
      </c>
      <c r="H13" s="212">
        <v>1.0722510070977878</v>
      </c>
      <c r="I13" s="202">
        <v>251</v>
      </c>
      <c r="J13" s="202">
        <v>1190.9232857142856</v>
      </c>
      <c r="K13" s="204">
        <v>1.4668338907859412E-4</v>
      </c>
      <c r="L13" s="202">
        <v>2</v>
      </c>
      <c r="M13" s="202">
        <v>1</v>
      </c>
      <c r="N13" s="210">
        <v>0.5</v>
      </c>
      <c r="O13" s="211"/>
      <c r="P13" s="212">
        <v>4.916666666666667</v>
      </c>
      <c r="Q13" s="212">
        <v>0.27638539919627758</v>
      </c>
      <c r="R13" s="202">
        <v>59</v>
      </c>
      <c r="S13" s="202">
        <v>108.35771428571428</v>
      </c>
      <c r="T13" s="204">
        <v>2.156730351287056E-4</v>
      </c>
      <c r="U13" s="202">
        <v>10</v>
      </c>
      <c r="V13" s="202">
        <v>6</v>
      </c>
      <c r="W13" s="210">
        <v>0.6</v>
      </c>
      <c r="X13" s="211"/>
      <c r="Y13" s="212">
        <v>4.3055555555555554</v>
      </c>
      <c r="Z13" s="212">
        <v>1.0225090177392204</v>
      </c>
      <c r="AA13" s="202">
        <v>351.33333333333331</v>
      </c>
      <c r="AB13" s="202">
        <v>1299.2809999999999</v>
      </c>
      <c r="AC13" s="204">
        <v>1.5070378643338415E-4</v>
      </c>
    </row>
    <row r="14" spans="1:29" ht="14.45" customHeight="1" x14ac:dyDescent="0.25">
      <c r="A14" s="205" t="s">
        <v>316</v>
      </c>
      <c r="B14" s="119" t="e">
        <f>VLOOKUP(A14,#REF!,2,FALSE)</f>
        <v>#REF!</v>
      </c>
      <c r="C14" s="202">
        <v>13</v>
      </c>
      <c r="D14" s="202">
        <v>12</v>
      </c>
      <c r="E14" s="210">
        <v>0.92307692307692313</v>
      </c>
      <c r="F14" s="211"/>
      <c r="G14" s="212">
        <v>4.4930555555555554</v>
      </c>
      <c r="H14" s="212">
        <v>0.77277033904879044</v>
      </c>
      <c r="I14" s="202">
        <v>647</v>
      </c>
      <c r="J14" s="202">
        <v>2102.75</v>
      </c>
      <c r="K14" s="204">
        <v>2.5899107027705834E-4</v>
      </c>
      <c r="L14" s="211"/>
      <c r="M14" s="211"/>
      <c r="N14" s="211"/>
      <c r="O14" s="211"/>
      <c r="P14" s="211"/>
      <c r="Q14" s="211"/>
      <c r="R14" s="211"/>
      <c r="S14" s="211"/>
      <c r="T14" s="211"/>
      <c r="U14" s="202">
        <v>13</v>
      </c>
      <c r="V14" s="202">
        <v>12</v>
      </c>
      <c r="W14" s="210">
        <v>0.92307692307692313</v>
      </c>
      <c r="X14" s="211"/>
      <c r="Y14" s="212">
        <v>4.4930555555555554</v>
      </c>
      <c r="Z14" s="212">
        <v>0.77277033904879044</v>
      </c>
      <c r="AA14" s="202">
        <v>647</v>
      </c>
      <c r="AB14" s="202">
        <v>2102.75</v>
      </c>
      <c r="AC14" s="204">
        <v>2.438982690601945E-4</v>
      </c>
    </row>
    <row r="15" spans="1:29" ht="14.45" customHeight="1" x14ac:dyDescent="0.25">
      <c r="A15" s="205" t="s">
        <v>385</v>
      </c>
      <c r="B15" s="119" t="e">
        <f>VLOOKUP(A15,#REF!,2,FALSE)</f>
        <v>#REF!</v>
      </c>
      <c r="C15" s="202">
        <v>11</v>
      </c>
      <c r="D15" s="202">
        <v>9</v>
      </c>
      <c r="E15" s="210">
        <v>0.81818181818181823</v>
      </c>
      <c r="F15" s="211"/>
      <c r="G15" s="212">
        <v>4.3888888888888893</v>
      </c>
      <c r="H15" s="212">
        <v>1.0348853338998403</v>
      </c>
      <c r="I15" s="202">
        <v>474</v>
      </c>
      <c r="J15" s="202">
        <v>1738.0000000000002</v>
      </c>
      <c r="K15" s="204">
        <v>2.1406561889978718E-4</v>
      </c>
      <c r="L15" s="211"/>
      <c r="M15" s="211"/>
      <c r="N15" s="211"/>
      <c r="O15" s="211"/>
      <c r="P15" s="211"/>
      <c r="Q15" s="211"/>
      <c r="R15" s="211"/>
      <c r="S15" s="211"/>
      <c r="T15" s="211"/>
      <c r="U15" s="202">
        <v>11</v>
      </c>
      <c r="V15" s="202">
        <v>9</v>
      </c>
      <c r="W15" s="210">
        <v>0.81818181818181823</v>
      </c>
      <c r="X15" s="211"/>
      <c r="Y15" s="212">
        <v>4.3888888888888893</v>
      </c>
      <c r="Z15" s="212">
        <v>1.0348853338998403</v>
      </c>
      <c r="AA15" s="202">
        <v>474</v>
      </c>
      <c r="AB15" s="202">
        <v>1738.0000000000002</v>
      </c>
      <c r="AC15" s="204">
        <v>2.0159086511787805E-4</v>
      </c>
    </row>
    <row r="16" spans="1:29" ht="14.45" customHeight="1" x14ac:dyDescent="0.25">
      <c r="A16" s="205" t="s">
        <v>292</v>
      </c>
      <c r="B16" s="119" t="e">
        <f>VLOOKUP(A16,#REF!,2,FALSE)</f>
        <v>#REF!</v>
      </c>
      <c r="C16" s="202">
        <v>56</v>
      </c>
      <c r="D16" s="202">
        <v>39</v>
      </c>
      <c r="E16" s="210">
        <v>0.6964285714285714</v>
      </c>
      <c r="F16" s="211"/>
      <c r="G16" s="212">
        <v>4.2457264957264957</v>
      </c>
      <c r="H16" s="212">
        <v>0.86817109684701155</v>
      </c>
      <c r="I16" s="202">
        <v>1987</v>
      </c>
      <c r="J16" s="202">
        <v>8559.1444285714297</v>
      </c>
      <c r="K16" s="204">
        <v>1.0542109029659426E-3</v>
      </c>
      <c r="L16" s="202">
        <v>17</v>
      </c>
      <c r="M16" s="202">
        <v>17</v>
      </c>
      <c r="N16" s="210">
        <v>1</v>
      </c>
      <c r="O16" s="211"/>
      <c r="P16" s="212">
        <v>4.4264705882352944</v>
      </c>
      <c r="Q16" s="212">
        <v>0.85146085198808863</v>
      </c>
      <c r="R16" s="202">
        <v>903</v>
      </c>
      <c r="S16" s="202">
        <v>903</v>
      </c>
      <c r="T16" s="204">
        <v>1.7973132047405789E-3</v>
      </c>
      <c r="U16" s="202">
        <v>73</v>
      </c>
      <c r="V16" s="202">
        <v>56</v>
      </c>
      <c r="W16" s="210">
        <v>0.76712328767123283</v>
      </c>
      <c r="X16" s="211"/>
      <c r="Y16" s="212">
        <v>4.3005952380952381</v>
      </c>
      <c r="Z16" s="212">
        <v>0.86712421693571129</v>
      </c>
      <c r="AA16" s="202">
        <v>3336.033163265306</v>
      </c>
      <c r="AB16" s="202">
        <v>9462.1444285714297</v>
      </c>
      <c r="AC16" s="204">
        <v>1.0975154667583569E-3</v>
      </c>
    </row>
    <row r="17" spans="1:29" ht="14.45" customHeight="1" x14ac:dyDescent="0.25">
      <c r="A17" s="205" t="s">
        <v>386</v>
      </c>
      <c r="B17" s="119" t="e">
        <f>VLOOKUP(A17,#REF!,2,FALSE)</f>
        <v>#REF!</v>
      </c>
      <c r="C17" s="202">
        <v>133</v>
      </c>
      <c r="D17" s="202">
        <v>47</v>
      </c>
      <c r="E17" s="210">
        <v>0.35338345864661652</v>
      </c>
      <c r="F17" s="211"/>
      <c r="G17" s="212">
        <v>3.7819148936170213</v>
      </c>
      <c r="H17" s="212">
        <v>1.0720295690941659</v>
      </c>
      <c r="I17" s="202">
        <v>2133</v>
      </c>
      <c r="J17" s="202">
        <v>13666.147037593984</v>
      </c>
      <c r="K17" s="204">
        <v>1.6832291274902467E-3</v>
      </c>
      <c r="L17" s="202">
        <v>30</v>
      </c>
      <c r="M17" s="202">
        <v>3</v>
      </c>
      <c r="N17" s="210">
        <v>0.1</v>
      </c>
      <c r="O17" s="211"/>
      <c r="P17" s="212">
        <v>3.8611111111111112</v>
      </c>
      <c r="Q17" s="212">
        <v>0.88671609441735399</v>
      </c>
      <c r="R17" s="202">
        <v>139</v>
      </c>
      <c r="S17" s="202">
        <v>340.35142857142853</v>
      </c>
      <c r="T17" s="204">
        <v>6.7742870080149333E-4</v>
      </c>
      <c r="U17" s="202">
        <v>163</v>
      </c>
      <c r="V17" s="202">
        <v>50</v>
      </c>
      <c r="W17" s="210">
        <v>0.30674846625766872</v>
      </c>
      <c r="X17" s="211"/>
      <c r="Y17" s="212">
        <v>3.7866666666666666</v>
      </c>
      <c r="Z17" s="212">
        <v>1.0619897467594606</v>
      </c>
      <c r="AA17" s="202">
        <v>3666.132048192771</v>
      </c>
      <c r="AB17" s="202">
        <v>14006.498466165413</v>
      </c>
      <c r="AC17" s="204">
        <v>1.6246157324893654E-3</v>
      </c>
    </row>
    <row r="18" spans="1:29" ht="14.45" customHeight="1" x14ac:dyDescent="0.25">
      <c r="A18" s="205" t="s">
        <v>255</v>
      </c>
      <c r="B18" s="119" t="e">
        <f>VLOOKUP(A18,#REF!,2,FALSE)</f>
        <v>#REF!</v>
      </c>
      <c r="C18" s="202">
        <v>1056</v>
      </c>
      <c r="D18" s="202">
        <v>543</v>
      </c>
      <c r="E18" s="210">
        <v>0.51420454545454541</v>
      </c>
      <c r="F18" s="211"/>
      <c r="G18" s="212">
        <v>4.3864186327888683</v>
      </c>
      <c r="H18" s="212">
        <v>0.8949428051582986</v>
      </c>
      <c r="I18" s="202">
        <v>28581.903811252268</v>
      </c>
      <c r="J18" s="202">
        <v>154993.44687635821</v>
      </c>
      <c r="K18" s="204">
        <v>1.9090200305522959E-2</v>
      </c>
      <c r="L18" s="202">
        <v>874</v>
      </c>
      <c r="M18" s="202">
        <v>456</v>
      </c>
      <c r="N18" s="210">
        <v>0.52173913043478259</v>
      </c>
      <c r="O18" s="211"/>
      <c r="P18" s="212">
        <v>4.2361111111111107</v>
      </c>
      <c r="Q18" s="212">
        <v>1.0310373867699854</v>
      </c>
      <c r="R18" s="202">
        <v>23180</v>
      </c>
      <c r="S18" s="202">
        <v>41543.74310559006</v>
      </c>
      <c r="T18" s="204">
        <v>8.2687838380982731E-2</v>
      </c>
      <c r="U18" s="202">
        <v>1930</v>
      </c>
      <c r="V18" s="202">
        <v>999</v>
      </c>
      <c r="W18" s="210">
        <v>0.51761658031088087</v>
      </c>
      <c r="X18" s="211"/>
      <c r="Y18" s="212">
        <v>4.31835484938762</v>
      </c>
      <c r="Z18" s="212">
        <v>0.96188057549256945</v>
      </c>
      <c r="AA18" s="202">
        <v>52682.82907948098</v>
      </c>
      <c r="AB18" s="202">
        <v>196537.18998194826</v>
      </c>
      <c r="AC18" s="204">
        <v>2.2796376384521116E-2</v>
      </c>
    </row>
    <row r="19" spans="1:29" ht="14.45" customHeight="1" x14ac:dyDescent="0.25">
      <c r="A19" s="205" t="s">
        <v>228</v>
      </c>
      <c r="B19" s="119" t="e">
        <f>VLOOKUP(A19,#REF!,2,FALSE)</f>
        <v>#REF!</v>
      </c>
      <c r="C19" s="202">
        <v>118</v>
      </c>
      <c r="D19" s="202">
        <v>81</v>
      </c>
      <c r="E19" s="210">
        <v>0.68644067796610164</v>
      </c>
      <c r="F19" s="211"/>
      <c r="G19" s="212">
        <v>4.3436213991769543</v>
      </c>
      <c r="H19" s="212">
        <v>0.86853458052444299</v>
      </c>
      <c r="I19" s="202">
        <v>4222</v>
      </c>
      <c r="J19" s="202">
        <v>18444.640154963679</v>
      </c>
      <c r="K19" s="204">
        <v>2.271785563956367E-3</v>
      </c>
      <c r="L19" s="211"/>
      <c r="M19" s="211"/>
      <c r="N19" s="211"/>
      <c r="O19" s="211"/>
      <c r="P19" s="211"/>
      <c r="Q19" s="211"/>
      <c r="R19" s="211"/>
      <c r="S19" s="211"/>
      <c r="T19" s="211"/>
      <c r="U19" s="202">
        <v>118</v>
      </c>
      <c r="V19" s="202">
        <v>81</v>
      </c>
      <c r="W19" s="210">
        <v>0.68644067796610164</v>
      </c>
      <c r="X19" s="211"/>
      <c r="Y19" s="212">
        <v>4.3436213991769543</v>
      </c>
      <c r="Z19" s="212">
        <v>0.86853458052444299</v>
      </c>
      <c r="AA19" s="202">
        <v>4222</v>
      </c>
      <c r="AB19" s="202">
        <v>18444.640154963679</v>
      </c>
      <c r="AC19" s="204">
        <v>2.1393964129039584E-3</v>
      </c>
    </row>
    <row r="20" spans="1:29" ht="14.45" customHeight="1" x14ac:dyDescent="0.25">
      <c r="A20" s="205" t="s">
        <v>327</v>
      </c>
      <c r="B20" s="119" t="e">
        <f>VLOOKUP(A20,#REF!,2,FALSE)</f>
        <v>#REF!</v>
      </c>
      <c r="C20" s="202">
        <v>155</v>
      </c>
      <c r="D20" s="202">
        <v>120</v>
      </c>
      <c r="E20" s="210">
        <v>0.77419354838709675</v>
      </c>
      <c r="F20" s="211"/>
      <c r="G20" s="212">
        <v>4.3250000000000002</v>
      </c>
      <c r="H20" s="212">
        <v>0.9013492971959064</v>
      </c>
      <c r="I20" s="202">
        <v>6228</v>
      </c>
      <c r="J20" s="202">
        <v>24133.5</v>
      </c>
      <c r="K20" s="204">
        <v>2.9724698582957497E-3</v>
      </c>
      <c r="L20" s="202">
        <v>52</v>
      </c>
      <c r="M20" s="202">
        <v>36</v>
      </c>
      <c r="N20" s="210">
        <v>0.69230769230769229</v>
      </c>
      <c r="O20" s="211"/>
      <c r="P20" s="212">
        <v>4.0509259259259256</v>
      </c>
      <c r="Q20" s="212">
        <v>1.0506607594985502</v>
      </c>
      <c r="R20" s="202">
        <v>1750</v>
      </c>
      <c r="S20" s="202">
        <v>2527.4615384615386</v>
      </c>
      <c r="T20" s="204">
        <v>5.0306090781294154E-3</v>
      </c>
      <c r="U20" s="202">
        <v>207</v>
      </c>
      <c r="V20" s="202">
        <v>156</v>
      </c>
      <c r="W20" s="210">
        <v>0.75362318840579712</v>
      </c>
      <c r="X20" s="211"/>
      <c r="Y20" s="212">
        <v>4.2617521367521372</v>
      </c>
      <c r="Z20" s="212">
        <v>0.94499961928254339</v>
      </c>
      <c r="AA20" s="202">
        <v>9929.1667645331763</v>
      </c>
      <c r="AB20" s="202">
        <v>26660.961538461539</v>
      </c>
      <c r="AC20" s="204">
        <v>3.0924086889602613E-3</v>
      </c>
    </row>
    <row r="21" spans="1:29" ht="14.45" customHeight="1" x14ac:dyDescent="0.25">
      <c r="A21" s="205" t="s">
        <v>326</v>
      </c>
      <c r="B21" s="119" t="e">
        <f>VLOOKUP(A21,#REF!,2,FALSE)</f>
        <v>#REF!</v>
      </c>
      <c r="C21" s="202">
        <v>730</v>
      </c>
      <c r="D21" s="202">
        <v>357</v>
      </c>
      <c r="E21" s="210">
        <v>0.48904109589041095</v>
      </c>
      <c r="F21" s="211"/>
      <c r="G21" s="212">
        <v>4.0280112044817926</v>
      </c>
      <c r="H21" s="212">
        <v>0.99586430696907713</v>
      </c>
      <c r="I21" s="202">
        <v>17256</v>
      </c>
      <c r="J21" s="202">
        <v>96232.963632093932</v>
      </c>
      <c r="K21" s="204">
        <v>1.1852801449059204E-2</v>
      </c>
      <c r="L21" s="202">
        <v>101</v>
      </c>
      <c r="M21" s="202">
        <v>52</v>
      </c>
      <c r="N21" s="210">
        <v>0.51485148514851486</v>
      </c>
      <c r="O21" s="211"/>
      <c r="P21" s="212">
        <v>3.8270440251572326</v>
      </c>
      <c r="Q21" s="212">
        <v>1.2657652635715284</v>
      </c>
      <c r="R21" s="202">
        <v>2388.0754716981132</v>
      </c>
      <c r="S21" s="202">
        <v>4313.5195870940188</v>
      </c>
      <c r="T21" s="204">
        <v>8.5855434250179507E-3</v>
      </c>
      <c r="U21" s="202">
        <v>831</v>
      </c>
      <c r="V21" s="202">
        <v>409</v>
      </c>
      <c r="W21" s="210">
        <v>0.49217809867629364</v>
      </c>
      <c r="X21" s="211"/>
      <c r="Y21" s="212">
        <v>4.0020325203252032</v>
      </c>
      <c r="Z21" s="212">
        <v>1.0369180878418731</v>
      </c>
      <c r="AA21" s="202">
        <v>30640.042021254936</v>
      </c>
      <c r="AB21" s="202">
        <v>100546.48321918795</v>
      </c>
      <c r="AC21" s="204">
        <v>1.1662400769111798E-2</v>
      </c>
    </row>
    <row r="22" spans="1:29" ht="14.45" customHeight="1" x14ac:dyDescent="0.25">
      <c r="A22" s="205" t="s">
        <v>235</v>
      </c>
      <c r="B22" s="119" t="e">
        <f>VLOOKUP(A22,#REF!,2,FALSE)</f>
        <v>#REF!</v>
      </c>
      <c r="C22" s="202">
        <v>10</v>
      </c>
      <c r="D22" s="202">
        <v>10</v>
      </c>
      <c r="E22" s="210">
        <v>1</v>
      </c>
      <c r="F22" s="211"/>
      <c r="G22" s="212">
        <v>4.6333333333333337</v>
      </c>
      <c r="H22" s="212">
        <v>0.74087035902976028</v>
      </c>
      <c r="I22" s="202">
        <v>556</v>
      </c>
      <c r="J22" s="202">
        <v>1668</v>
      </c>
      <c r="K22" s="204">
        <v>2.0544387360462885E-4</v>
      </c>
      <c r="L22" s="211"/>
      <c r="M22" s="211"/>
      <c r="N22" s="211"/>
      <c r="O22" s="211"/>
      <c r="P22" s="211"/>
      <c r="Q22" s="211"/>
      <c r="R22" s="211"/>
      <c r="S22" s="211"/>
      <c r="T22" s="211"/>
      <c r="U22" s="202">
        <v>10</v>
      </c>
      <c r="V22" s="202">
        <v>10</v>
      </c>
      <c r="W22" s="210">
        <v>1</v>
      </c>
      <c r="X22" s="211"/>
      <c r="Y22" s="212">
        <v>4.6333333333333337</v>
      </c>
      <c r="Z22" s="212">
        <v>0.74087035902976028</v>
      </c>
      <c r="AA22" s="202">
        <v>556</v>
      </c>
      <c r="AB22" s="202">
        <v>1668</v>
      </c>
      <c r="AC22" s="204">
        <v>1.9347155524546638E-4</v>
      </c>
    </row>
    <row r="23" spans="1:29" ht="14.45" customHeight="1" x14ac:dyDescent="0.25">
      <c r="A23" s="205" t="s">
        <v>251</v>
      </c>
      <c r="B23" s="119" t="e">
        <f>VLOOKUP(A23,#REF!,2,FALSE)</f>
        <v>#REF!</v>
      </c>
      <c r="C23" s="202">
        <v>22</v>
      </c>
      <c r="D23" s="202">
        <v>21</v>
      </c>
      <c r="E23" s="210">
        <v>0.95454545454545459</v>
      </c>
      <c r="F23" s="211"/>
      <c r="G23" s="212">
        <v>4.412698412698413</v>
      </c>
      <c r="H23" s="212">
        <v>0.80936817676075767</v>
      </c>
      <c r="I23" s="202">
        <v>1112</v>
      </c>
      <c r="J23" s="202">
        <v>3494.8571428571431</v>
      </c>
      <c r="K23" s="204">
        <v>4.304538304096986E-4</v>
      </c>
      <c r="L23" s="211"/>
      <c r="M23" s="211"/>
      <c r="N23" s="211"/>
      <c r="O23" s="211"/>
      <c r="P23" s="211"/>
      <c r="Q23" s="211"/>
      <c r="R23" s="211"/>
      <c r="S23" s="211"/>
      <c r="T23" s="211"/>
      <c r="U23" s="202">
        <v>22</v>
      </c>
      <c r="V23" s="202">
        <v>21</v>
      </c>
      <c r="W23" s="210">
        <v>0.95454545454545459</v>
      </c>
      <c r="X23" s="211"/>
      <c r="Y23" s="212">
        <v>4.412698412698413</v>
      </c>
      <c r="Z23" s="212">
        <v>0.80936817676075767</v>
      </c>
      <c r="AA23" s="202">
        <v>1112</v>
      </c>
      <c r="AB23" s="202">
        <v>3494.8571428571431</v>
      </c>
      <c r="AC23" s="204">
        <v>4.0536897289526291E-4</v>
      </c>
    </row>
    <row r="24" spans="1:29" ht="14.45" customHeight="1" x14ac:dyDescent="0.25">
      <c r="A24" s="205" t="s">
        <v>355</v>
      </c>
      <c r="B24" s="119" t="e">
        <f>VLOOKUP(A24,#REF!,2,FALSE)</f>
        <v>#REF!</v>
      </c>
      <c r="C24" s="202">
        <v>75</v>
      </c>
      <c r="D24" s="202">
        <v>72</v>
      </c>
      <c r="E24" s="210">
        <v>0.96</v>
      </c>
      <c r="F24" s="211"/>
      <c r="G24" s="212">
        <v>4.21875</v>
      </c>
      <c r="H24" s="212">
        <v>0.94505061225429687</v>
      </c>
      <c r="I24" s="202">
        <v>3645</v>
      </c>
      <c r="J24" s="202">
        <v>11390.625</v>
      </c>
      <c r="K24" s="204">
        <v>1.4029581071808906E-3</v>
      </c>
      <c r="L24" s="211"/>
      <c r="M24" s="211"/>
      <c r="N24" s="211"/>
      <c r="O24" s="211"/>
      <c r="P24" s="211"/>
      <c r="Q24" s="211"/>
      <c r="R24" s="211"/>
      <c r="S24" s="211"/>
      <c r="T24" s="211"/>
      <c r="U24" s="202">
        <v>75</v>
      </c>
      <c r="V24" s="202">
        <v>72</v>
      </c>
      <c r="W24" s="210">
        <v>0.96</v>
      </c>
      <c r="X24" s="211"/>
      <c r="Y24" s="212">
        <v>4.21875</v>
      </c>
      <c r="Z24" s="212">
        <v>0.94505061225429687</v>
      </c>
      <c r="AA24" s="202">
        <v>3645</v>
      </c>
      <c r="AB24" s="202">
        <v>11390.625</v>
      </c>
      <c r="AC24" s="204">
        <v>1.3212002002205578E-3</v>
      </c>
    </row>
    <row r="25" spans="1:29" ht="14.45" customHeight="1" x14ac:dyDescent="0.25">
      <c r="A25" s="205" t="s">
        <v>246</v>
      </c>
      <c r="B25" s="119" t="e">
        <f>VLOOKUP(A25,#REF!,2,FALSE)</f>
        <v>#REF!</v>
      </c>
      <c r="C25" s="202">
        <v>62</v>
      </c>
      <c r="D25" s="202">
        <v>48</v>
      </c>
      <c r="E25" s="210">
        <v>0.77419354838709675</v>
      </c>
      <c r="F25" s="211"/>
      <c r="G25" s="212">
        <v>4.359375</v>
      </c>
      <c r="H25" s="212">
        <v>0.8192660322491232</v>
      </c>
      <c r="I25" s="202">
        <v>2511</v>
      </c>
      <c r="J25" s="202">
        <v>9730.125</v>
      </c>
      <c r="K25" s="204">
        <v>1.1984379920007429E-3</v>
      </c>
      <c r="L25" s="202">
        <v>5</v>
      </c>
      <c r="M25" s="202">
        <v>2</v>
      </c>
      <c r="N25" s="210">
        <v>0.4</v>
      </c>
      <c r="O25" s="211"/>
      <c r="P25" s="212">
        <v>4.208333333333333</v>
      </c>
      <c r="Q25" s="212">
        <v>1.1895085353016839</v>
      </c>
      <c r="R25" s="202">
        <v>101</v>
      </c>
      <c r="S25" s="202">
        <v>206.09771428571429</v>
      </c>
      <c r="T25" s="204">
        <v>4.1021278333617427E-4</v>
      </c>
      <c r="U25" s="202">
        <v>67</v>
      </c>
      <c r="V25" s="202">
        <v>50</v>
      </c>
      <c r="W25" s="210">
        <v>0.74626865671641796</v>
      </c>
      <c r="X25" s="211"/>
      <c r="Y25" s="212">
        <v>4.3533333333333335</v>
      </c>
      <c r="Z25" s="212">
        <v>0.83774830481608209</v>
      </c>
      <c r="AA25" s="202">
        <v>4859.1671351351351</v>
      </c>
      <c r="AB25" s="202">
        <v>9936.2227142857137</v>
      </c>
      <c r="AC25" s="204">
        <v>1.152503873979728E-3</v>
      </c>
    </row>
    <row r="26" spans="1:29" ht="14.45" customHeight="1" x14ac:dyDescent="0.25">
      <c r="A26" s="205" t="s">
        <v>319</v>
      </c>
      <c r="B26" s="119" t="e">
        <f>VLOOKUP(A26,#REF!,2,FALSE)</f>
        <v>#REF!</v>
      </c>
      <c r="C26" s="202">
        <v>90</v>
      </c>
      <c r="D26" s="202">
        <v>62</v>
      </c>
      <c r="E26" s="210">
        <v>0.68888888888888888</v>
      </c>
      <c r="F26" s="211"/>
      <c r="G26" s="212">
        <v>4.329301075268817</v>
      </c>
      <c r="H26" s="212">
        <v>0.79845384573078892</v>
      </c>
      <c r="I26" s="202">
        <v>3221</v>
      </c>
      <c r="J26" s="202">
        <v>14023.313714285714</v>
      </c>
      <c r="K26" s="204">
        <v>1.7272205576953075E-3</v>
      </c>
      <c r="L26" s="211"/>
      <c r="M26" s="211"/>
      <c r="N26" s="211"/>
      <c r="O26" s="211"/>
      <c r="P26" s="211"/>
      <c r="Q26" s="211"/>
      <c r="R26" s="211"/>
      <c r="S26" s="211"/>
      <c r="T26" s="211"/>
      <c r="U26" s="202">
        <v>90</v>
      </c>
      <c r="V26" s="202">
        <v>62</v>
      </c>
      <c r="W26" s="210">
        <v>0.68888888888888888</v>
      </c>
      <c r="X26" s="211"/>
      <c r="Y26" s="212">
        <v>4.329301075268817</v>
      </c>
      <c r="Z26" s="212">
        <v>0.79845384573078892</v>
      </c>
      <c r="AA26" s="202">
        <v>3221</v>
      </c>
      <c r="AB26" s="202">
        <v>14023.313714285714</v>
      </c>
      <c r="AC26" s="204">
        <v>1.6265661354903686E-3</v>
      </c>
    </row>
    <row r="27" spans="1:29" ht="14.45" customHeight="1" x14ac:dyDescent="0.25">
      <c r="A27" s="205" t="s">
        <v>298</v>
      </c>
      <c r="B27" s="119" t="e">
        <f>VLOOKUP(A27,#REF!,2,FALSE)</f>
        <v>#REF!</v>
      </c>
      <c r="C27" s="202">
        <v>13</v>
      </c>
      <c r="D27" s="202">
        <v>4</v>
      </c>
      <c r="E27" s="210">
        <v>0.30769230769230771</v>
      </c>
      <c r="F27" s="211"/>
      <c r="G27" s="212">
        <v>4.479166666666667</v>
      </c>
      <c r="H27" s="212">
        <v>0.67668257370465068</v>
      </c>
      <c r="I27" s="202">
        <v>215</v>
      </c>
      <c r="J27" s="202">
        <v>1437.6270329670331</v>
      </c>
      <c r="K27" s="204">
        <v>1.7706934439536975E-4</v>
      </c>
      <c r="L27" s="202">
        <v>1</v>
      </c>
      <c r="M27" s="202">
        <v>0</v>
      </c>
      <c r="N27" s="210">
        <v>0</v>
      </c>
      <c r="O27" s="211"/>
      <c r="P27" s="212"/>
      <c r="Q27" s="212"/>
      <c r="R27" s="202"/>
      <c r="S27" s="202"/>
      <c r="T27" s="204"/>
      <c r="U27" s="202">
        <v>14</v>
      </c>
      <c r="V27" s="202">
        <v>4</v>
      </c>
      <c r="W27" s="210">
        <v>0.2857142857142857</v>
      </c>
      <c r="X27" s="211"/>
      <c r="Y27" s="212">
        <v>4.479166666666667</v>
      </c>
      <c r="Z27" s="212">
        <v>0.67668257370465068</v>
      </c>
      <c r="AA27" s="202">
        <v>314.23076923076923</v>
      </c>
      <c r="AB27" s="202">
        <v>1437.6270329670331</v>
      </c>
      <c r="AC27" s="204">
        <v>1.667505623087873E-4</v>
      </c>
    </row>
    <row r="28" spans="1:29" ht="14.45" customHeight="1" x14ac:dyDescent="0.25">
      <c r="A28" s="205" t="s">
        <v>305</v>
      </c>
      <c r="B28" s="119" t="e">
        <f>VLOOKUP(A28,#REF!,2,FALSE)</f>
        <v>#REF!</v>
      </c>
      <c r="C28" s="202">
        <v>88</v>
      </c>
      <c r="D28" s="202">
        <v>69</v>
      </c>
      <c r="E28" s="210">
        <v>0.78409090909090906</v>
      </c>
      <c r="F28" s="211"/>
      <c r="G28" s="212">
        <v>4.5700483091787438</v>
      </c>
      <c r="H28" s="212">
        <v>0.77470361955351574</v>
      </c>
      <c r="I28" s="202">
        <v>3784</v>
      </c>
      <c r="J28" s="202">
        <v>14477.91304347826</v>
      </c>
      <c r="K28" s="204">
        <v>1.7832125523759923E-3</v>
      </c>
      <c r="L28" s="202">
        <v>20</v>
      </c>
      <c r="M28" s="202">
        <v>9</v>
      </c>
      <c r="N28" s="210">
        <v>0.45</v>
      </c>
      <c r="O28" s="211"/>
      <c r="P28" s="212">
        <v>4.666666666666667</v>
      </c>
      <c r="Q28" s="212">
        <v>0.63828473850422329</v>
      </c>
      <c r="R28" s="202">
        <v>504</v>
      </c>
      <c r="S28" s="202">
        <v>977.04</v>
      </c>
      <c r="T28" s="204">
        <v>1.9446809452488762E-3</v>
      </c>
      <c r="U28" s="202">
        <v>108</v>
      </c>
      <c r="V28" s="202">
        <v>78</v>
      </c>
      <c r="W28" s="210">
        <v>0.72222222222222221</v>
      </c>
      <c r="X28" s="211"/>
      <c r="Y28" s="212">
        <v>4.5811965811965809</v>
      </c>
      <c r="Z28" s="212">
        <v>0.76083979961097914</v>
      </c>
      <c r="AA28" s="202">
        <v>6348.9697612732098</v>
      </c>
      <c r="AB28" s="202">
        <v>15454.953043478261</v>
      </c>
      <c r="AC28" s="204">
        <v>1.7926221831938806E-3</v>
      </c>
    </row>
    <row r="29" spans="1:29" ht="14.45" customHeight="1" x14ac:dyDescent="0.25">
      <c r="A29" s="205" t="s">
        <v>282</v>
      </c>
      <c r="B29" s="119" t="e">
        <f>VLOOKUP(A29,#REF!,2,FALSE)</f>
        <v>#REF!</v>
      </c>
      <c r="C29" s="202">
        <v>64</v>
      </c>
      <c r="D29" s="202">
        <v>18</v>
      </c>
      <c r="E29" s="210">
        <v>0.28125</v>
      </c>
      <c r="F29" s="211"/>
      <c r="G29" s="212">
        <v>4.6064814814814818</v>
      </c>
      <c r="H29" s="212">
        <v>0.75630352864100892</v>
      </c>
      <c r="I29" s="202">
        <v>995</v>
      </c>
      <c r="J29" s="202">
        <v>6814.2219642857135</v>
      </c>
      <c r="K29" s="204">
        <v>8.3929265943920859E-4</v>
      </c>
      <c r="L29" s="202">
        <v>5</v>
      </c>
      <c r="M29" s="202">
        <v>3</v>
      </c>
      <c r="N29" s="210">
        <v>0.6</v>
      </c>
      <c r="O29" s="211"/>
      <c r="P29" s="212">
        <v>4.1111111111111107</v>
      </c>
      <c r="Q29" s="212">
        <v>1.1732617823301619</v>
      </c>
      <c r="R29" s="202">
        <v>148</v>
      </c>
      <c r="S29" s="202">
        <v>241.62057142857142</v>
      </c>
      <c r="T29" s="204">
        <v>4.8091677028298525E-4</v>
      </c>
      <c r="U29" s="202">
        <v>69</v>
      </c>
      <c r="V29" s="202">
        <v>21</v>
      </c>
      <c r="W29" s="210">
        <v>0.30434782608695654</v>
      </c>
      <c r="X29" s="211"/>
      <c r="Y29" s="212">
        <v>4.5357142857142856</v>
      </c>
      <c r="Z29" s="212">
        <v>0.84674580486111095</v>
      </c>
      <c r="AA29" s="202">
        <v>2286</v>
      </c>
      <c r="AB29" s="202">
        <v>7055.8425357142851</v>
      </c>
      <c r="AC29" s="204">
        <v>8.1840817083438718E-4</v>
      </c>
    </row>
    <row r="30" spans="1:29" ht="14.45" customHeight="1" x14ac:dyDescent="0.25">
      <c r="A30" s="205" t="s">
        <v>289</v>
      </c>
      <c r="B30" s="119" t="e">
        <f>VLOOKUP(A30,#REF!,2,FALSE)</f>
        <v>#REF!</v>
      </c>
      <c r="C30" s="202">
        <v>12</v>
      </c>
      <c r="D30" s="202">
        <v>10</v>
      </c>
      <c r="E30" s="210">
        <v>0.83333333333333337</v>
      </c>
      <c r="F30" s="211"/>
      <c r="G30" s="212">
        <v>4.1212121212121211</v>
      </c>
      <c r="H30" s="212">
        <v>0.99262662752479958</v>
      </c>
      <c r="I30" s="202">
        <v>494.5454545454545</v>
      </c>
      <c r="J30" s="202">
        <v>1780.3636363636363</v>
      </c>
      <c r="K30" s="204">
        <v>2.1928345436412968E-4</v>
      </c>
      <c r="L30" s="211"/>
      <c r="M30" s="211"/>
      <c r="N30" s="211"/>
      <c r="O30" s="211"/>
      <c r="P30" s="211"/>
      <c r="Q30" s="211"/>
      <c r="R30" s="211"/>
      <c r="S30" s="211"/>
      <c r="T30" s="211"/>
      <c r="U30" s="202">
        <v>12</v>
      </c>
      <c r="V30" s="202">
        <v>10</v>
      </c>
      <c r="W30" s="210">
        <v>0.83333333333333337</v>
      </c>
      <c r="X30" s="211"/>
      <c r="Y30" s="212">
        <v>4.1212121212121211</v>
      </c>
      <c r="Z30" s="212">
        <v>0.99262662752479958</v>
      </c>
      <c r="AA30" s="202">
        <v>494.5454545454545</v>
      </c>
      <c r="AB30" s="202">
        <v>1780.3636363636363</v>
      </c>
      <c r="AC30" s="204">
        <v>2.0650462927442845E-4</v>
      </c>
    </row>
    <row r="31" spans="1:29" ht="14.45" customHeight="1" x14ac:dyDescent="0.25">
      <c r="A31" s="205" t="s">
        <v>279</v>
      </c>
      <c r="B31" s="119" t="e">
        <f>VLOOKUP(A31,#REF!,2,FALSE)</f>
        <v>#REF!</v>
      </c>
      <c r="C31" s="202">
        <v>39</v>
      </c>
      <c r="D31" s="202">
        <v>18</v>
      </c>
      <c r="E31" s="210">
        <v>0.46153846153846156</v>
      </c>
      <c r="F31" s="211"/>
      <c r="G31" s="212">
        <v>4.4212962962962967</v>
      </c>
      <c r="H31" s="212">
        <v>0.88887683247996296</v>
      </c>
      <c r="I31" s="202">
        <v>955</v>
      </c>
      <c r="J31" s="202">
        <v>5486.5694505494503</v>
      </c>
      <c r="K31" s="204">
        <v>6.7576863352619861E-4</v>
      </c>
      <c r="L31" s="202">
        <v>2</v>
      </c>
      <c r="M31" s="202">
        <v>1</v>
      </c>
      <c r="N31" s="210">
        <v>0.5</v>
      </c>
      <c r="O31" s="211"/>
      <c r="P31" s="212">
        <v>4.25</v>
      </c>
      <c r="Q31" s="212">
        <v>1.0103629710818445</v>
      </c>
      <c r="R31" s="202">
        <v>51</v>
      </c>
      <c r="S31" s="202">
        <v>93.665142857142854</v>
      </c>
      <c r="T31" s="204">
        <v>1.8642923375532179E-4</v>
      </c>
      <c r="U31" s="202">
        <v>41</v>
      </c>
      <c r="V31" s="202">
        <v>19</v>
      </c>
      <c r="W31" s="210">
        <v>0.46341463414634149</v>
      </c>
      <c r="X31" s="211"/>
      <c r="Y31" s="212">
        <v>4.4122807017543861</v>
      </c>
      <c r="Z31" s="212">
        <v>0.89649809452514984</v>
      </c>
      <c r="AA31" s="202">
        <v>1863.5806050559468</v>
      </c>
      <c r="AB31" s="202">
        <v>5580.2345934065934</v>
      </c>
      <c r="AC31" s="204">
        <v>6.4725219749456016E-4</v>
      </c>
    </row>
    <row r="32" spans="1:29" ht="14.45" customHeight="1" x14ac:dyDescent="0.25">
      <c r="A32" s="205" t="s">
        <v>361</v>
      </c>
      <c r="B32" s="119" t="e">
        <f>VLOOKUP(A32,#REF!,2,FALSE)</f>
        <v>#REF!</v>
      </c>
      <c r="C32" s="202">
        <v>37</v>
      </c>
      <c r="D32" s="202">
        <v>1</v>
      </c>
      <c r="E32" s="210">
        <v>2.7027027027027029E-2</v>
      </c>
      <c r="F32" s="211"/>
      <c r="G32" s="212">
        <v>5</v>
      </c>
      <c r="H32" s="212">
        <v>0</v>
      </c>
      <c r="I32" s="202">
        <v>60</v>
      </c>
      <c r="J32" s="202">
        <v>440.74285714285713</v>
      </c>
      <c r="K32" s="204">
        <v>5.428532364208641E-5</v>
      </c>
      <c r="L32" s="211"/>
      <c r="M32" s="211"/>
      <c r="N32" s="211"/>
      <c r="O32" s="211"/>
      <c r="P32" s="211"/>
      <c r="Q32" s="211"/>
      <c r="R32" s="211"/>
      <c r="S32" s="211"/>
      <c r="T32" s="211"/>
      <c r="U32" s="202">
        <v>37</v>
      </c>
      <c r="V32" s="202">
        <v>1</v>
      </c>
      <c r="W32" s="210">
        <v>2.7027027027027029E-2</v>
      </c>
      <c r="X32" s="211"/>
      <c r="Y32" s="212">
        <v>5</v>
      </c>
      <c r="Z32" s="212">
        <v>0</v>
      </c>
      <c r="AA32" s="202">
        <v>60</v>
      </c>
      <c r="AB32" s="202">
        <v>440.74285714285713</v>
      </c>
      <c r="AC32" s="204">
        <v>5.1121826159927444E-5</v>
      </c>
    </row>
    <row r="33" spans="1:29" ht="14.45" customHeight="1" x14ac:dyDescent="0.25">
      <c r="A33" s="205" t="s">
        <v>362</v>
      </c>
      <c r="B33" s="119" t="e">
        <f>VLOOKUP(A33,#REF!,2,FALSE)</f>
        <v>#REF!</v>
      </c>
      <c r="C33" s="202">
        <v>27</v>
      </c>
      <c r="D33" s="202">
        <v>22</v>
      </c>
      <c r="E33" s="210">
        <v>0.81481481481481477</v>
      </c>
      <c r="F33" s="211"/>
      <c r="G33" s="212">
        <v>4.4962121212121211</v>
      </c>
      <c r="H33" s="212">
        <v>0.72820922973917301</v>
      </c>
      <c r="I33" s="202">
        <v>1187</v>
      </c>
      <c r="J33" s="202">
        <v>4370.318181818182</v>
      </c>
      <c r="K33" s="204">
        <v>5.3828243174908034E-4</v>
      </c>
      <c r="L33" s="202">
        <v>3</v>
      </c>
      <c r="M33" s="202">
        <v>1</v>
      </c>
      <c r="N33" s="210">
        <v>0.33333333333333331</v>
      </c>
      <c r="O33" s="211"/>
      <c r="P33" s="212">
        <v>4.583333333333333</v>
      </c>
      <c r="Q33" s="212">
        <v>0.64009547898905284</v>
      </c>
      <c r="R33" s="202">
        <v>55</v>
      </c>
      <c r="S33" s="202">
        <v>119.71142857142857</v>
      </c>
      <c r="T33" s="204">
        <v>2.3827124178271009E-4</v>
      </c>
      <c r="U33" s="202">
        <v>30</v>
      </c>
      <c r="V33" s="202">
        <v>23</v>
      </c>
      <c r="W33" s="210">
        <v>0.76666666666666672</v>
      </c>
      <c r="X33" s="211"/>
      <c r="Y33" s="212">
        <v>4.5</v>
      </c>
      <c r="Z33" s="212">
        <v>0.72481881794044112</v>
      </c>
      <c r="AA33" s="202">
        <v>1911.4698795180723</v>
      </c>
      <c r="AB33" s="202">
        <v>4490.0296103896108</v>
      </c>
      <c r="AC33" s="204">
        <v>5.2079916775795766E-4</v>
      </c>
    </row>
    <row r="34" spans="1:29" ht="14.45" customHeight="1" x14ac:dyDescent="0.25">
      <c r="A34" s="205" t="s">
        <v>366</v>
      </c>
      <c r="B34" s="119" t="e">
        <f>VLOOKUP(A34,#REF!,2,FALSE)</f>
        <v>#REF!</v>
      </c>
      <c r="C34" s="202">
        <v>2371</v>
      </c>
      <c r="D34" s="202">
        <v>922</v>
      </c>
      <c r="E34" s="210">
        <v>0.3888654576128216</v>
      </c>
      <c r="F34" s="211"/>
      <c r="G34" s="212">
        <v>4.2484816005716324</v>
      </c>
      <c r="H34" s="212">
        <v>0.95189419230361527</v>
      </c>
      <c r="I34" s="202">
        <v>47005.200428724544</v>
      </c>
      <c r="J34" s="202">
        <v>290955.50111452601</v>
      </c>
      <c r="K34" s="204">
        <v>3.5836346040494085E-2</v>
      </c>
      <c r="L34" s="202">
        <v>355</v>
      </c>
      <c r="M34" s="202">
        <v>94</v>
      </c>
      <c r="N34" s="210">
        <v>0.26478873239436618</v>
      </c>
      <c r="O34" s="211"/>
      <c r="P34" s="212">
        <v>4.1436170212765955</v>
      </c>
      <c r="Q34" s="212">
        <v>1.1159442629487162</v>
      </c>
      <c r="R34" s="202">
        <v>4674</v>
      </c>
      <c r="S34" s="202">
        <v>10826.86488531187</v>
      </c>
      <c r="T34" s="204">
        <v>2.1549576106659047E-2</v>
      </c>
      <c r="U34" s="202">
        <v>2726</v>
      </c>
      <c r="V34" s="202">
        <v>1016</v>
      </c>
      <c r="W34" s="210">
        <v>0.37270726338958182</v>
      </c>
      <c r="X34" s="211"/>
      <c r="Y34" s="212">
        <v>4.2388834793898083</v>
      </c>
      <c r="Z34" s="212">
        <v>0.96853814282261241</v>
      </c>
      <c r="AA34" s="202">
        <v>85639.174498359906</v>
      </c>
      <c r="AB34" s="202">
        <v>301782.36599983787</v>
      </c>
      <c r="AC34" s="204">
        <v>3.5003779194031887E-2</v>
      </c>
    </row>
    <row r="35" spans="1:29" ht="14.45" customHeight="1" x14ac:dyDescent="0.25">
      <c r="A35" s="205" t="s">
        <v>358</v>
      </c>
      <c r="B35" s="119" t="e">
        <f>VLOOKUP(A35,#REF!,2,FALSE)</f>
        <v>#REF!</v>
      </c>
      <c r="C35" s="202">
        <v>118</v>
      </c>
      <c r="D35" s="202">
        <v>120</v>
      </c>
      <c r="E35" s="210">
        <v>1.0169491525423728</v>
      </c>
      <c r="F35" s="211"/>
      <c r="G35" s="212">
        <v>4.5</v>
      </c>
      <c r="H35" s="212">
        <v>0.85491187671004398</v>
      </c>
      <c r="I35" s="202">
        <v>6480</v>
      </c>
      <c r="J35" s="202">
        <v>19116</v>
      </c>
      <c r="K35" s="204">
        <v>2.3544754723177968E-3</v>
      </c>
      <c r="L35" s="202">
        <v>39</v>
      </c>
      <c r="M35" s="202">
        <v>24</v>
      </c>
      <c r="N35" s="210">
        <v>0.61538461538461542</v>
      </c>
      <c r="O35" s="211"/>
      <c r="P35" s="212">
        <v>3.9340277777777777</v>
      </c>
      <c r="Q35" s="212">
        <v>1.1543193758447525</v>
      </c>
      <c r="R35" s="202">
        <v>1133</v>
      </c>
      <c r="S35" s="202">
        <v>1814.144659340659</v>
      </c>
      <c r="T35" s="204">
        <v>3.6108373771235503E-3</v>
      </c>
      <c r="U35" s="202">
        <v>157</v>
      </c>
      <c r="V35" s="202">
        <v>144</v>
      </c>
      <c r="W35" s="210">
        <v>0.91719745222929938</v>
      </c>
      <c r="X35" s="211"/>
      <c r="Y35" s="212">
        <v>4.406963470319635</v>
      </c>
      <c r="Z35" s="212">
        <v>0.93475360147433106</v>
      </c>
      <c r="AA35" s="202">
        <v>10185.426944450797</v>
      </c>
      <c r="AB35" s="202">
        <v>20930.144659340658</v>
      </c>
      <c r="AC35" s="204">
        <v>2.4276904309084107E-3</v>
      </c>
    </row>
    <row r="36" spans="1:29" ht="14.45" customHeight="1" x14ac:dyDescent="0.25">
      <c r="A36" s="205" t="s">
        <v>364</v>
      </c>
      <c r="B36" s="119" t="e">
        <f>VLOOKUP(A36,#REF!,2,FALSE)</f>
        <v>#REF!</v>
      </c>
      <c r="C36" s="202">
        <v>297</v>
      </c>
      <c r="D36" s="202">
        <v>209</v>
      </c>
      <c r="E36" s="210">
        <v>0.70370370370370372</v>
      </c>
      <c r="F36" s="211"/>
      <c r="G36" s="212">
        <v>4.3448412698412699</v>
      </c>
      <c r="H36" s="212">
        <v>0.88131686654073482</v>
      </c>
      <c r="I36" s="202">
        <v>10896.861904761905</v>
      </c>
      <c r="J36" s="202">
        <v>46455.042857142857</v>
      </c>
      <c r="K36" s="204">
        <v>5.7217649598563991E-3</v>
      </c>
      <c r="L36" s="202">
        <v>66</v>
      </c>
      <c r="M36" s="202">
        <v>45</v>
      </c>
      <c r="N36" s="210">
        <v>0.68181818181818177</v>
      </c>
      <c r="O36" s="211"/>
      <c r="P36" s="212">
        <v>4.2148148148148152</v>
      </c>
      <c r="Q36" s="212">
        <v>0.9017282598406976</v>
      </c>
      <c r="R36" s="202">
        <v>2276</v>
      </c>
      <c r="S36" s="202">
        <v>3335.8474805194805</v>
      </c>
      <c r="T36" s="204">
        <v>6.639604347439927E-3</v>
      </c>
      <c r="U36" s="202">
        <v>363</v>
      </c>
      <c r="V36" s="202">
        <v>254</v>
      </c>
      <c r="W36" s="210">
        <v>0.69972451790633605</v>
      </c>
      <c r="X36" s="211"/>
      <c r="Y36" s="212">
        <v>4.3218954248366011</v>
      </c>
      <c r="Z36" s="212">
        <v>0.88634024039517367</v>
      </c>
      <c r="AA36" s="202">
        <v>17968.785982478101</v>
      </c>
      <c r="AB36" s="202">
        <v>49790.890337662335</v>
      </c>
      <c r="AC36" s="204">
        <v>5.7752523924964006E-3</v>
      </c>
    </row>
    <row r="37" spans="1:29" ht="14.45" customHeight="1" x14ac:dyDescent="0.25">
      <c r="A37" s="205" t="s">
        <v>306</v>
      </c>
      <c r="B37" s="119" t="e">
        <f>VLOOKUP(A37,#REF!,2,FALSE)</f>
        <v>#REF!</v>
      </c>
      <c r="C37" s="202">
        <v>1183</v>
      </c>
      <c r="D37" s="202">
        <v>485</v>
      </c>
      <c r="E37" s="210">
        <v>0.40997464074387152</v>
      </c>
      <c r="F37" s="211"/>
      <c r="G37" s="212">
        <v>4.40041067761807</v>
      </c>
      <c r="H37" s="212">
        <v>0.86464504655501184</v>
      </c>
      <c r="I37" s="202">
        <v>25610.390143737168</v>
      </c>
      <c r="J37" s="202">
        <v>155216.11002674786</v>
      </c>
      <c r="K37" s="204">
        <v>1.9117625233655487E-2</v>
      </c>
      <c r="L37" s="202">
        <v>11</v>
      </c>
      <c r="M37" s="202">
        <v>5</v>
      </c>
      <c r="N37" s="210">
        <v>0.45454545454545453</v>
      </c>
      <c r="O37" s="211"/>
      <c r="P37" s="212">
        <v>4.9000000000000004</v>
      </c>
      <c r="Q37" s="212">
        <v>0.39581140290125894</v>
      </c>
      <c r="R37" s="202">
        <v>294</v>
      </c>
      <c r="S37" s="202">
        <v>567.21381818181817</v>
      </c>
      <c r="T37" s="204">
        <v>1.1289710800991182E-3</v>
      </c>
      <c r="U37" s="202">
        <v>1194</v>
      </c>
      <c r="V37" s="202">
        <v>490</v>
      </c>
      <c r="W37" s="210">
        <v>0.41038525963149081</v>
      </c>
      <c r="X37" s="211"/>
      <c r="Y37" s="212">
        <v>4.4054878048780486</v>
      </c>
      <c r="Z37" s="212">
        <v>0.8626217163166241</v>
      </c>
      <c r="AA37" s="202">
        <v>49677.207958921703</v>
      </c>
      <c r="AB37" s="202">
        <v>155783.32384492969</v>
      </c>
      <c r="AC37" s="204">
        <v>1.8069329703589144E-2</v>
      </c>
    </row>
    <row r="38" spans="1:29" ht="14.45" customHeight="1" x14ac:dyDescent="0.25">
      <c r="A38" s="205" t="s">
        <v>240</v>
      </c>
      <c r="B38" s="119" t="e">
        <f>VLOOKUP(A38,#REF!,2,FALSE)</f>
        <v>#REF!</v>
      </c>
      <c r="C38" s="202">
        <v>462</v>
      </c>
      <c r="D38" s="202">
        <v>59</v>
      </c>
      <c r="E38" s="210">
        <v>0.12770562770562771</v>
      </c>
      <c r="F38" s="211"/>
      <c r="G38" s="212">
        <v>4.2048022598870061</v>
      </c>
      <c r="H38" s="212">
        <v>0.98096550524509685</v>
      </c>
      <c r="I38" s="202">
        <v>2977</v>
      </c>
      <c r="J38" s="202">
        <v>21868.191428571427</v>
      </c>
      <c r="K38" s="204">
        <v>2.6934568080415207E-3</v>
      </c>
      <c r="L38" s="202">
        <v>487</v>
      </c>
      <c r="M38" s="202">
        <v>268</v>
      </c>
      <c r="N38" s="210">
        <v>0.55030800821355241</v>
      </c>
      <c r="O38" s="211"/>
      <c r="P38" s="212">
        <v>3.9169776119402986</v>
      </c>
      <c r="Q38" s="212">
        <v>1.0828308759757621</v>
      </c>
      <c r="R38" s="202">
        <v>12597</v>
      </c>
      <c r="S38" s="202">
        <v>21842.481127603402</v>
      </c>
      <c r="T38" s="204">
        <v>4.3474839152755795E-2</v>
      </c>
      <c r="U38" s="202">
        <v>949</v>
      </c>
      <c r="V38" s="202">
        <v>327</v>
      </c>
      <c r="W38" s="210">
        <v>0.3445732349841939</v>
      </c>
      <c r="X38" s="211"/>
      <c r="Y38" s="212">
        <v>3.9689092762487257</v>
      </c>
      <c r="Z38" s="212">
        <v>1.0709069640795867</v>
      </c>
      <c r="AA38" s="202">
        <v>18990.283660175301</v>
      </c>
      <c r="AB38" s="202">
        <v>43710.672556174832</v>
      </c>
      <c r="AC38" s="204">
        <v>5.070007074501481E-3</v>
      </c>
    </row>
    <row r="39" spans="1:29" ht="14.45" customHeight="1" x14ac:dyDescent="0.25">
      <c r="A39" s="205" t="s">
        <v>261</v>
      </c>
      <c r="B39" s="119" t="e">
        <f>VLOOKUP(A39,#REF!,2,FALSE)</f>
        <v>#REF!</v>
      </c>
      <c r="C39" s="202">
        <v>133</v>
      </c>
      <c r="D39" s="202">
        <v>100</v>
      </c>
      <c r="E39" s="210">
        <v>0.75187969924812026</v>
      </c>
      <c r="F39" s="211"/>
      <c r="G39" s="212">
        <v>4.246666666666667</v>
      </c>
      <c r="H39" s="212">
        <v>0.92510660046408655</v>
      </c>
      <c r="I39" s="202">
        <v>5096</v>
      </c>
      <c r="J39" s="202">
        <v>20333.04</v>
      </c>
      <c r="K39" s="204">
        <v>2.5043755993752175E-3</v>
      </c>
      <c r="L39" s="202">
        <v>33</v>
      </c>
      <c r="M39" s="202">
        <v>18</v>
      </c>
      <c r="N39" s="210">
        <v>0.54545454545454541</v>
      </c>
      <c r="O39" s="211"/>
      <c r="P39" s="212">
        <v>4.4074074074074074</v>
      </c>
      <c r="Q39" s="212">
        <v>0.75199779645358955</v>
      </c>
      <c r="R39" s="202">
        <v>952</v>
      </c>
      <c r="S39" s="202">
        <v>1660.1396363636366</v>
      </c>
      <c r="T39" s="204">
        <v>3.3043088484491553E-3</v>
      </c>
      <c r="U39" s="202">
        <v>166</v>
      </c>
      <c r="V39" s="202">
        <v>118</v>
      </c>
      <c r="W39" s="210">
        <v>0.71084337349397586</v>
      </c>
      <c r="X39" s="211"/>
      <c r="Y39" s="212">
        <v>4.2711864406779663</v>
      </c>
      <c r="Z39" s="212">
        <v>0.9027048207960674</v>
      </c>
      <c r="AA39" s="202">
        <v>8908.5768036205518</v>
      </c>
      <c r="AB39" s="202">
        <v>21993.179636363639</v>
      </c>
      <c r="AC39" s="204">
        <v>2.550992007817862E-3</v>
      </c>
    </row>
    <row r="40" spans="1:29" ht="14.45" customHeight="1" x14ac:dyDescent="0.25">
      <c r="A40" s="205" t="s">
        <v>310</v>
      </c>
      <c r="B40" s="119" t="e">
        <f>VLOOKUP(A40,#REF!,2,FALSE)</f>
        <v>#REF!</v>
      </c>
      <c r="C40" s="202">
        <v>1362</v>
      </c>
      <c r="D40" s="202">
        <v>446</v>
      </c>
      <c r="E40" s="210">
        <v>0.32745961820851688</v>
      </c>
      <c r="F40" s="211"/>
      <c r="G40" s="212">
        <v>4.2533259423503322</v>
      </c>
      <c r="H40" s="212">
        <v>0.90878220426916745</v>
      </c>
      <c r="I40" s="202">
        <v>22763.800443458978</v>
      </c>
      <c r="J40" s="202">
        <v>149459.40639605717</v>
      </c>
      <c r="K40" s="204">
        <v>1.8408584770176515E-2</v>
      </c>
      <c r="L40" s="202">
        <v>90</v>
      </c>
      <c r="M40" s="202">
        <v>30</v>
      </c>
      <c r="N40" s="210">
        <v>0.33333333333333331</v>
      </c>
      <c r="O40" s="211"/>
      <c r="P40" s="212">
        <v>3.9666666666666668</v>
      </c>
      <c r="Q40" s="212">
        <v>0.99107124982123229</v>
      </c>
      <c r="R40" s="202">
        <v>1428</v>
      </c>
      <c r="S40" s="202">
        <v>3108.1440000000002</v>
      </c>
      <c r="T40" s="204">
        <v>6.1863878775583643E-3</v>
      </c>
      <c r="U40" s="202">
        <v>1452</v>
      </c>
      <c r="V40" s="202">
        <v>476</v>
      </c>
      <c r="W40" s="210">
        <v>0.32782369146005508</v>
      </c>
      <c r="X40" s="211"/>
      <c r="Y40" s="212">
        <v>4.2354469854469858</v>
      </c>
      <c r="Z40" s="212">
        <v>0.91675589058405949</v>
      </c>
      <c r="AA40" s="202">
        <v>42197.966092652889</v>
      </c>
      <c r="AB40" s="202">
        <v>152567.55039605717</v>
      </c>
      <c r="AC40" s="204">
        <v>1.7696331687719575E-2</v>
      </c>
    </row>
    <row r="41" spans="1:29" ht="14.45" customHeight="1" x14ac:dyDescent="0.25">
      <c r="A41" s="205" t="s">
        <v>374</v>
      </c>
      <c r="B41" s="119" t="e">
        <f>VLOOKUP(A41,#REF!,2,FALSE)</f>
        <v>#REF!</v>
      </c>
      <c r="C41" s="202">
        <v>2</v>
      </c>
      <c r="D41" s="202">
        <v>2</v>
      </c>
      <c r="E41" s="210">
        <v>1</v>
      </c>
      <c r="F41" s="211"/>
      <c r="G41" s="212">
        <v>5</v>
      </c>
      <c r="H41" s="212">
        <v>0</v>
      </c>
      <c r="I41" s="202">
        <v>120</v>
      </c>
      <c r="J41" s="202">
        <v>360</v>
      </c>
      <c r="K41" s="204">
        <v>4.4340404375099756E-5</v>
      </c>
      <c r="L41" s="211"/>
      <c r="M41" s="211"/>
      <c r="N41" s="211"/>
      <c r="O41" s="211"/>
      <c r="P41" s="211"/>
      <c r="Q41" s="211"/>
      <c r="R41" s="211"/>
      <c r="S41" s="211"/>
      <c r="T41" s="211"/>
      <c r="U41" s="202">
        <v>2</v>
      </c>
      <c r="V41" s="202">
        <v>2</v>
      </c>
      <c r="W41" s="210">
        <v>1</v>
      </c>
      <c r="X41" s="211"/>
      <c r="Y41" s="212">
        <v>5</v>
      </c>
      <c r="Z41" s="212">
        <v>0</v>
      </c>
      <c r="AA41" s="202">
        <v>120</v>
      </c>
      <c r="AB41" s="202">
        <v>360</v>
      </c>
      <c r="AC41" s="204">
        <v>4.1756450772402815E-5</v>
      </c>
    </row>
    <row r="42" spans="1:29" ht="14.45" customHeight="1" x14ac:dyDescent="0.25">
      <c r="A42" s="205" t="s">
        <v>270</v>
      </c>
      <c r="B42" s="119" t="e">
        <f>VLOOKUP(A42,#REF!,2,FALSE)</f>
        <v>#REF!</v>
      </c>
      <c r="C42" s="202">
        <v>938</v>
      </c>
      <c r="D42" s="202">
        <v>674</v>
      </c>
      <c r="E42" s="210">
        <v>0.71855010660980811</v>
      </c>
      <c r="F42" s="211"/>
      <c r="G42" s="212">
        <v>4.1773598820058995</v>
      </c>
      <c r="H42" s="212">
        <v>0.98881836620301666</v>
      </c>
      <c r="I42" s="202">
        <v>33786.486725663715</v>
      </c>
      <c r="J42" s="202">
        <v>141061.08849557521</v>
      </c>
      <c r="K42" s="204">
        <v>1.7374182515237601E-2</v>
      </c>
      <c r="L42" s="202">
        <v>351</v>
      </c>
      <c r="M42" s="202">
        <v>154</v>
      </c>
      <c r="N42" s="210">
        <v>0.43874643874643876</v>
      </c>
      <c r="O42" s="211"/>
      <c r="P42" s="212">
        <v>4.187770562770563</v>
      </c>
      <c r="Q42" s="212">
        <v>0.98688466902468264</v>
      </c>
      <c r="R42" s="202">
        <v>7739</v>
      </c>
      <c r="S42" s="202">
        <v>15180.270559218561</v>
      </c>
      <c r="T42" s="204">
        <v>3.0214508004006838E-2</v>
      </c>
      <c r="U42" s="202">
        <v>1289</v>
      </c>
      <c r="V42" s="202">
        <v>828</v>
      </c>
      <c r="W42" s="210">
        <v>0.6423584173778123</v>
      </c>
      <c r="X42" s="211"/>
      <c r="Y42" s="212">
        <v>4.1792868589743586</v>
      </c>
      <c r="Z42" s="212">
        <v>0.98846900092459056</v>
      </c>
      <c r="AA42" s="202">
        <v>56226.296239079478</v>
      </c>
      <c r="AB42" s="202">
        <v>156241.35905479378</v>
      </c>
      <c r="AC42" s="204">
        <v>1.8122457272180027E-2</v>
      </c>
    </row>
    <row r="43" spans="1:29" ht="14.45" customHeight="1" x14ac:dyDescent="0.25">
      <c r="A43" s="205" t="s">
        <v>311</v>
      </c>
      <c r="B43" s="119" t="e">
        <f>VLOOKUP(A43,#REF!,2,FALSE)</f>
        <v>#REF!</v>
      </c>
      <c r="C43" s="202">
        <v>549</v>
      </c>
      <c r="D43" s="202">
        <v>391</v>
      </c>
      <c r="E43" s="210">
        <v>0.71220400728597455</v>
      </c>
      <c r="F43" s="211"/>
      <c r="G43" s="212">
        <v>4.0959079283887467</v>
      </c>
      <c r="H43" s="212">
        <v>1.0263827335938072</v>
      </c>
      <c r="I43" s="202">
        <v>19218</v>
      </c>
      <c r="J43" s="202">
        <v>80951.524296675198</v>
      </c>
      <c r="K43" s="204">
        <v>9.9706203391535866E-3</v>
      </c>
      <c r="L43" s="202">
        <v>57</v>
      </c>
      <c r="M43" s="202">
        <v>33</v>
      </c>
      <c r="N43" s="210">
        <v>0.57894736842105265</v>
      </c>
      <c r="O43" s="211"/>
      <c r="P43" s="212">
        <v>4.21875</v>
      </c>
      <c r="Q43" s="212">
        <v>0.91518583040094537</v>
      </c>
      <c r="R43" s="202">
        <v>1670.625</v>
      </c>
      <c r="S43" s="202">
        <v>2799.1635902255639</v>
      </c>
      <c r="T43" s="204">
        <v>5.5713994273991728E-3</v>
      </c>
      <c r="U43" s="202">
        <v>606</v>
      </c>
      <c r="V43" s="202">
        <v>424</v>
      </c>
      <c r="W43" s="210">
        <v>0.6996699669966997</v>
      </c>
      <c r="X43" s="211"/>
      <c r="Y43" s="212">
        <v>4.1073085846867752</v>
      </c>
      <c r="Z43" s="212">
        <v>1.0171997007216753</v>
      </c>
      <c r="AA43" s="202">
        <v>35475.338713750076</v>
      </c>
      <c r="AB43" s="202">
        <v>83750.687886900763</v>
      </c>
      <c r="AC43" s="204">
        <v>9.7142540997340113E-3</v>
      </c>
    </row>
    <row r="44" spans="1:29" ht="14.45" customHeight="1" x14ac:dyDescent="0.25">
      <c r="A44" s="205" t="s">
        <v>281</v>
      </c>
      <c r="B44" s="119" t="e">
        <f>VLOOKUP(A44,#REF!,2,FALSE)</f>
        <v>#REF!</v>
      </c>
      <c r="C44" s="202">
        <v>616</v>
      </c>
      <c r="D44" s="202">
        <v>429</v>
      </c>
      <c r="E44" s="210">
        <v>0.6964285714285714</v>
      </c>
      <c r="F44" s="211"/>
      <c r="G44" s="212">
        <v>4.1495726495726499</v>
      </c>
      <c r="H44" s="212">
        <v>0.96408193340906834</v>
      </c>
      <c r="I44" s="202">
        <v>21362</v>
      </c>
      <c r="J44" s="202">
        <v>92018.340857142859</v>
      </c>
      <c r="K44" s="204">
        <v>1.1333695676476328E-2</v>
      </c>
      <c r="L44" s="202">
        <v>54</v>
      </c>
      <c r="M44" s="202">
        <v>35</v>
      </c>
      <c r="N44" s="210">
        <v>0.64814814814814814</v>
      </c>
      <c r="O44" s="211"/>
      <c r="P44" s="212">
        <v>4.2928571428571427</v>
      </c>
      <c r="Q44" s="212">
        <v>1.0430935805032422</v>
      </c>
      <c r="R44" s="202">
        <v>1803</v>
      </c>
      <c r="S44" s="202">
        <v>2766.4316190476193</v>
      </c>
      <c r="T44" s="204">
        <v>5.5062503642592971E-3</v>
      </c>
      <c r="U44" s="202">
        <v>670</v>
      </c>
      <c r="V44" s="202">
        <v>464</v>
      </c>
      <c r="W44" s="210">
        <v>0.69253731343283587</v>
      </c>
      <c r="X44" s="211"/>
      <c r="Y44" s="212">
        <v>4.1603807471264371</v>
      </c>
      <c r="Z44" s="212">
        <v>0.97100381989465712</v>
      </c>
      <c r="AA44" s="202">
        <v>39128.188909151198</v>
      </c>
      <c r="AB44" s="202">
        <v>94784.772476190483</v>
      </c>
      <c r="AC44" s="204">
        <v>1.0994099127431803E-2</v>
      </c>
    </row>
    <row r="45" spans="1:29" ht="14.45" customHeight="1" x14ac:dyDescent="0.25">
      <c r="A45" s="205" t="s">
        <v>242</v>
      </c>
      <c r="B45" s="119" t="e">
        <f>VLOOKUP(A45,#REF!,2,FALSE)</f>
        <v>#REF!</v>
      </c>
      <c r="C45" s="202">
        <v>1373</v>
      </c>
      <c r="D45" s="202">
        <v>851</v>
      </c>
      <c r="E45" s="210">
        <v>0.61981063364894395</v>
      </c>
      <c r="F45" s="211"/>
      <c r="G45" s="212">
        <v>4.1376102800153429</v>
      </c>
      <c r="H45" s="212">
        <v>0.98908161267619388</v>
      </c>
      <c r="I45" s="202">
        <v>42253.276179516688</v>
      </c>
      <c r="J45" s="202">
        <v>201821.64161250647</v>
      </c>
      <c r="K45" s="204">
        <v>2.4857925557624991E-2</v>
      </c>
      <c r="L45" s="202">
        <v>225</v>
      </c>
      <c r="M45" s="202">
        <v>118</v>
      </c>
      <c r="N45" s="210">
        <v>0.52444444444444449</v>
      </c>
      <c r="O45" s="211"/>
      <c r="P45" s="212">
        <v>4.0103359173126618</v>
      </c>
      <c r="Q45" s="212">
        <v>1.0878215391841823</v>
      </c>
      <c r="R45" s="202">
        <v>5678.6356589147281</v>
      </c>
      <c r="S45" s="202">
        <v>10146.045372905131</v>
      </c>
      <c r="T45" s="204">
        <v>2.0194486516743573E-2</v>
      </c>
      <c r="U45" s="202">
        <v>1598</v>
      </c>
      <c r="V45" s="202">
        <v>969</v>
      </c>
      <c r="W45" s="210">
        <v>0.6063829787234043</v>
      </c>
      <c r="X45" s="211"/>
      <c r="Y45" s="212">
        <v>4.1211589846359384</v>
      </c>
      <c r="Z45" s="212">
        <v>1.0033010941947254</v>
      </c>
      <c r="AA45" s="202">
        <v>72801.187905350584</v>
      </c>
      <c r="AB45" s="202">
        <v>211967.68698541159</v>
      </c>
      <c r="AC45" s="204">
        <v>2.4586161908184523E-2</v>
      </c>
    </row>
    <row r="46" spans="1:29" ht="14.45" customHeight="1" x14ac:dyDescent="0.25">
      <c r="A46" s="205" t="s">
        <v>271</v>
      </c>
      <c r="B46" s="119" t="e">
        <f>VLOOKUP(A46,#REF!,2,FALSE)</f>
        <v>#REF!</v>
      </c>
      <c r="C46" s="202">
        <v>1526</v>
      </c>
      <c r="D46" s="202">
        <v>686</v>
      </c>
      <c r="E46" s="210">
        <v>0.44954128440366975</v>
      </c>
      <c r="F46" s="211"/>
      <c r="G46" s="212">
        <v>4.1752626552053487</v>
      </c>
      <c r="H46" s="212">
        <v>0.99813068012332762</v>
      </c>
      <c r="I46" s="202">
        <v>34370.762177650431</v>
      </c>
      <c r="J46" s="202">
        <v>199987.02300402196</v>
      </c>
      <c r="K46" s="204">
        <v>2.4631959638251974E-2</v>
      </c>
      <c r="L46" s="202">
        <v>152</v>
      </c>
      <c r="M46" s="202">
        <v>27</v>
      </c>
      <c r="N46" s="210">
        <v>0.17763157894736842</v>
      </c>
      <c r="O46" s="211"/>
      <c r="P46" s="212">
        <v>4.0771604938271606</v>
      </c>
      <c r="Q46" s="212">
        <v>1.1345731068272142</v>
      </c>
      <c r="R46" s="202">
        <v>1321</v>
      </c>
      <c r="S46" s="202">
        <v>3234.562857142857</v>
      </c>
      <c r="T46" s="204">
        <v>6.4380094515019623E-3</v>
      </c>
      <c r="U46" s="202">
        <v>1678</v>
      </c>
      <c r="V46" s="202">
        <v>713</v>
      </c>
      <c r="W46" s="210">
        <v>0.42491060786650775</v>
      </c>
      <c r="X46" s="211"/>
      <c r="Y46" s="212">
        <v>4.1716091954022989</v>
      </c>
      <c r="Z46" s="212">
        <v>1.0037165116592988</v>
      </c>
      <c r="AA46" s="202">
        <v>62479.708681570584</v>
      </c>
      <c r="AB46" s="202">
        <v>203221.58586116481</v>
      </c>
      <c r="AC46" s="204">
        <v>2.3571700405281556E-2</v>
      </c>
    </row>
    <row r="47" spans="1:29" ht="14.45" customHeight="1" x14ac:dyDescent="0.25">
      <c r="A47" s="205" t="s">
        <v>328</v>
      </c>
      <c r="B47" s="119" t="e">
        <f>VLOOKUP(A47,#REF!,2,FALSE)</f>
        <v>#REF!</v>
      </c>
      <c r="C47" s="202">
        <v>703</v>
      </c>
      <c r="D47" s="202">
        <v>398</v>
      </c>
      <c r="E47" s="210">
        <v>0.56614509246088196</v>
      </c>
      <c r="F47" s="211"/>
      <c r="G47" s="212">
        <v>4.2550689375506892</v>
      </c>
      <c r="H47" s="212">
        <v>0.94335977847618802</v>
      </c>
      <c r="I47" s="202">
        <v>20322.209245742095</v>
      </c>
      <c r="J47" s="202">
        <v>103742.97441197785</v>
      </c>
      <c r="K47" s="204">
        <v>1.2777792879174235E-2</v>
      </c>
      <c r="L47" s="202">
        <v>164</v>
      </c>
      <c r="M47" s="202">
        <v>73</v>
      </c>
      <c r="N47" s="210">
        <v>0.4451219512195122</v>
      </c>
      <c r="O47" s="211"/>
      <c r="P47" s="212">
        <v>4.1906392694063923</v>
      </c>
      <c r="Q47" s="212">
        <v>0.92969973672527728</v>
      </c>
      <c r="R47" s="202">
        <v>3671</v>
      </c>
      <c r="S47" s="202">
        <v>7153.0266411149823</v>
      </c>
      <c r="T47" s="204">
        <v>1.4237241678778637E-2</v>
      </c>
      <c r="U47" s="202">
        <v>867</v>
      </c>
      <c r="V47" s="202">
        <v>471</v>
      </c>
      <c r="W47" s="210">
        <v>0.54325259515570934</v>
      </c>
      <c r="X47" s="211"/>
      <c r="Y47" s="212">
        <v>4.2453512396694215</v>
      </c>
      <c r="Z47" s="212">
        <v>0.9415945464231591</v>
      </c>
      <c r="AA47" s="202">
        <v>35138.218469277759</v>
      </c>
      <c r="AB47" s="202">
        <v>110896.00105309283</v>
      </c>
      <c r="AC47" s="204">
        <v>1.2862842802305003E-2</v>
      </c>
    </row>
    <row r="48" spans="1:29" ht="14.45" customHeight="1" x14ac:dyDescent="0.25">
      <c r="A48" s="205" t="s">
        <v>253</v>
      </c>
      <c r="B48" s="119" t="e">
        <f>VLOOKUP(A48,#REF!,2,FALSE)</f>
        <v>#REF!</v>
      </c>
      <c r="C48" s="202">
        <v>21</v>
      </c>
      <c r="D48" s="202">
        <v>15</v>
      </c>
      <c r="E48" s="210">
        <v>0.7142857142857143</v>
      </c>
      <c r="F48" s="211"/>
      <c r="G48" s="212">
        <v>4.1722222222222225</v>
      </c>
      <c r="H48" s="212">
        <v>0.83553413093099449</v>
      </c>
      <c r="I48" s="202">
        <v>751</v>
      </c>
      <c r="J48" s="202">
        <v>3154.2</v>
      </c>
      <c r="K48" s="204">
        <v>3.8849584299983231E-4</v>
      </c>
      <c r="L48" s="211"/>
      <c r="M48" s="211"/>
      <c r="N48" s="211"/>
      <c r="O48" s="211"/>
      <c r="P48" s="211"/>
      <c r="Q48" s="211"/>
      <c r="R48" s="211"/>
      <c r="S48" s="211"/>
      <c r="T48" s="211"/>
      <c r="U48" s="202">
        <v>21</v>
      </c>
      <c r="V48" s="202">
        <v>15</v>
      </c>
      <c r="W48" s="210">
        <v>0.7142857142857143</v>
      </c>
      <c r="X48" s="211"/>
      <c r="Y48" s="212">
        <v>4.1722222222222225</v>
      </c>
      <c r="Z48" s="212">
        <v>0.83553413093099449</v>
      </c>
      <c r="AA48" s="202">
        <v>751</v>
      </c>
      <c r="AB48" s="202">
        <v>3154.2</v>
      </c>
      <c r="AC48" s="204">
        <v>3.6585610285086928E-4</v>
      </c>
    </row>
    <row r="49" spans="1:29" ht="14.45" customHeight="1" x14ac:dyDescent="0.25">
      <c r="A49" s="205" t="s">
        <v>236</v>
      </c>
      <c r="B49" s="119" t="e">
        <f>VLOOKUP(A49,#REF!,2,FALSE)</f>
        <v>#REF!</v>
      </c>
      <c r="C49" s="202">
        <v>353</v>
      </c>
      <c r="D49" s="202">
        <v>170</v>
      </c>
      <c r="E49" s="210">
        <v>0.48158640226628896</v>
      </c>
      <c r="F49" s="211"/>
      <c r="G49" s="212">
        <v>4.2249999999999996</v>
      </c>
      <c r="H49" s="212">
        <v>0.9989516563701708</v>
      </c>
      <c r="I49" s="202">
        <v>8619</v>
      </c>
      <c r="J49" s="202">
        <v>48459.513037636585</v>
      </c>
      <c r="K49" s="204">
        <v>5.9686511219700688E-3</v>
      </c>
      <c r="L49" s="202">
        <v>30</v>
      </c>
      <c r="M49" s="202">
        <v>10</v>
      </c>
      <c r="N49" s="210">
        <v>0.33333333333333331</v>
      </c>
      <c r="O49" s="211"/>
      <c r="P49" s="212">
        <v>4.45</v>
      </c>
      <c r="Q49" s="212">
        <v>0.80467384697155242</v>
      </c>
      <c r="R49" s="202">
        <v>534</v>
      </c>
      <c r="S49" s="202">
        <v>1162.2891428571429</v>
      </c>
      <c r="T49" s="204">
        <v>2.3133971474903125E-3</v>
      </c>
      <c r="U49" s="202">
        <v>383</v>
      </c>
      <c r="V49" s="202">
        <v>180</v>
      </c>
      <c r="W49" s="210">
        <v>0.4699738903394256</v>
      </c>
      <c r="X49" s="211"/>
      <c r="Y49" s="212">
        <v>4.2374999999999998</v>
      </c>
      <c r="Z49" s="212">
        <v>0.99050176678287805</v>
      </c>
      <c r="AA49" s="202">
        <v>15953.545454545454</v>
      </c>
      <c r="AB49" s="202">
        <v>49621.802180493731</v>
      </c>
      <c r="AC49" s="204">
        <v>5.7556398332991587E-3</v>
      </c>
    </row>
    <row r="50" spans="1:29" ht="14.45" customHeight="1" x14ac:dyDescent="0.25">
      <c r="A50" s="205" t="s">
        <v>262</v>
      </c>
      <c r="B50" s="119" t="e">
        <f>VLOOKUP(A50,#REF!,2,FALSE)</f>
        <v>#REF!</v>
      </c>
      <c r="C50" s="202">
        <v>27</v>
      </c>
      <c r="D50" s="202">
        <v>27</v>
      </c>
      <c r="E50" s="210">
        <v>1</v>
      </c>
      <c r="F50" s="211"/>
      <c r="G50" s="212">
        <v>4.2993827160493829</v>
      </c>
      <c r="H50" s="212">
        <v>1.0152538400327604</v>
      </c>
      <c r="I50" s="202">
        <v>1393</v>
      </c>
      <c r="J50" s="202">
        <v>4179</v>
      </c>
      <c r="K50" s="204">
        <v>5.1471819412094962E-4</v>
      </c>
      <c r="L50" s="211"/>
      <c r="M50" s="211"/>
      <c r="N50" s="211"/>
      <c r="O50" s="211"/>
      <c r="P50" s="211"/>
      <c r="Q50" s="211"/>
      <c r="R50" s="211"/>
      <c r="S50" s="211"/>
      <c r="T50" s="211"/>
      <c r="U50" s="202">
        <v>27</v>
      </c>
      <c r="V50" s="202">
        <v>27</v>
      </c>
      <c r="W50" s="210">
        <v>1</v>
      </c>
      <c r="X50" s="211"/>
      <c r="Y50" s="212">
        <v>4.2993827160493829</v>
      </c>
      <c r="Z50" s="212">
        <v>1.0152538400327604</v>
      </c>
      <c r="AA50" s="202">
        <v>1393</v>
      </c>
      <c r="AB50" s="202">
        <v>4179</v>
      </c>
      <c r="AC50" s="204">
        <v>4.8472279938297598E-4</v>
      </c>
    </row>
    <row r="51" spans="1:29" ht="14.45" customHeight="1" x14ac:dyDescent="0.25">
      <c r="A51" s="205" t="s">
        <v>357</v>
      </c>
      <c r="B51" s="119" t="e">
        <f>VLOOKUP(A51,#REF!,2,FALSE)</f>
        <v>#REF!</v>
      </c>
      <c r="C51" s="202">
        <v>30</v>
      </c>
      <c r="D51" s="202">
        <v>19</v>
      </c>
      <c r="E51" s="210">
        <v>0.6333333333333333</v>
      </c>
      <c r="F51" s="211"/>
      <c r="G51" s="212">
        <v>4.6710526315789478</v>
      </c>
      <c r="H51" s="212">
        <v>0.63635801522861446</v>
      </c>
      <c r="I51" s="202">
        <v>1065</v>
      </c>
      <c r="J51" s="202">
        <v>4998.8057142857142</v>
      </c>
      <c r="K51" s="204">
        <v>6.156918521221887E-4</v>
      </c>
      <c r="L51" s="211"/>
      <c r="M51" s="211"/>
      <c r="N51" s="211"/>
      <c r="O51" s="211"/>
      <c r="P51" s="211"/>
      <c r="Q51" s="211"/>
      <c r="R51" s="211"/>
      <c r="S51" s="211"/>
      <c r="T51" s="211"/>
      <c r="U51" s="202">
        <v>30</v>
      </c>
      <c r="V51" s="202">
        <v>19</v>
      </c>
      <c r="W51" s="210">
        <v>0.6333333333333333</v>
      </c>
      <c r="X51" s="211"/>
      <c r="Y51" s="212">
        <v>4.6710526315789478</v>
      </c>
      <c r="Z51" s="212">
        <v>0.63635801522861446</v>
      </c>
      <c r="AA51" s="202">
        <v>1065</v>
      </c>
      <c r="AB51" s="202">
        <v>4998.8057142857142</v>
      </c>
      <c r="AC51" s="204">
        <v>5.7981217980382588E-4</v>
      </c>
    </row>
    <row r="52" spans="1:29" ht="14.45" customHeight="1" x14ac:dyDescent="0.25">
      <c r="A52" s="205" t="s">
        <v>356</v>
      </c>
      <c r="B52" s="119" t="e">
        <f>VLOOKUP(A52,#REF!,2,FALSE)</f>
        <v>#REF!</v>
      </c>
      <c r="C52" s="202">
        <v>625</v>
      </c>
      <c r="D52" s="202">
        <v>234</v>
      </c>
      <c r="E52" s="210">
        <v>0.37440000000000001</v>
      </c>
      <c r="F52" s="211"/>
      <c r="G52" s="212">
        <v>4.0968660968660968</v>
      </c>
      <c r="H52" s="212">
        <v>1.0123265251221878</v>
      </c>
      <c r="I52" s="202">
        <v>11504</v>
      </c>
      <c r="J52" s="202">
        <v>72226.555830857149</v>
      </c>
      <c r="K52" s="204">
        <v>8.8959852560025702E-3</v>
      </c>
      <c r="L52" s="202">
        <v>96</v>
      </c>
      <c r="M52" s="202">
        <v>21</v>
      </c>
      <c r="N52" s="210">
        <v>0.21875</v>
      </c>
      <c r="O52" s="211"/>
      <c r="P52" s="212">
        <v>4.1060606060606064</v>
      </c>
      <c r="Q52" s="212">
        <v>1.0571371843946891</v>
      </c>
      <c r="R52" s="202">
        <v>1034.7272727272727</v>
      </c>
      <c r="S52" s="202">
        <v>2494.0253181818184</v>
      </c>
      <c r="T52" s="204">
        <v>4.9640582916118565E-3</v>
      </c>
      <c r="U52" s="202">
        <v>721</v>
      </c>
      <c r="V52" s="202">
        <v>255</v>
      </c>
      <c r="W52" s="210">
        <v>0.35367545076282941</v>
      </c>
      <c r="X52" s="211"/>
      <c r="Y52" s="212">
        <v>4.09765625</v>
      </c>
      <c r="Z52" s="212">
        <v>1.0162583161624164</v>
      </c>
      <c r="AA52" s="202">
        <v>19122.632443405513</v>
      </c>
      <c r="AB52" s="202">
        <v>74720.581149038961</v>
      </c>
      <c r="AC52" s="204">
        <v>8.6668507456532633E-3</v>
      </c>
    </row>
    <row r="53" spans="1:29" ht="14.45" customHeight="1" x14ac:dyDescent="0.25">
      <c r="A53" s="205" t="s">
        <v>334</v>
      </c>
      <c r="B53" s="119" t="e">
        <f>VLOOKUP(A53,#REF!,2,FALSE)</f>
        <v>#REF!</v>
      </c>
      <c r="C53" s="202">
        <v>7</v>
      </c>
      <c r="D53" s="202">
        <v>2</v>
      </c>
      <c r="E53" s="210">
        <v>0.2857142857142857</v>
      </c>
      <c r="F53" s="211"/>
      <c r="G53" s="212">
        <v>4.875</v>
      </c>
      <c r="H53" s="212">
        <v>0.33071891388307384</v>
      </c>
      <c r="I53" s="202">
        <v>117</v>
      </c>
      <c r="J53" s="202">
        <v>798.07371428571423</v>
      </c>
      <c r="K53" s="204">
        <v>9.8296975590462211E-5</v>
      </c>
      <c r="L53" s="202">
        <v>3</v>
      </c>
      <c r="M53" s="202"/>
      <c r="N53" s="210"/>
      <c r="O53" s="211"/>
      <c r="P53" s="212"/>
      <c r="Q53" s="212"/>
      <c r="R53" s="202"/>
      <c r="S53" s="202"/>
      <c r="T53" s="204"/>
      <c r="U53" s="202">
        <v>10</v>
      </c>
      <c r="V53" s="202">
        <v>2</v>
      </c>
      <c r="W53" s="210">
        <v>0.2</v>
      </c>
      <c r="X53" s="211"/>
      <c r="Y53" s="212">
        <v>4.875</v>
      </c>
      <c r="Z53" s="212">
        <v>0.33071891388307384</v>
      </c>
      <c r="AA53" s="202">
        <v>234</v>
      </c>
      <c r="AB53" s="202">
        <v>798.07371428571423</v>
      </c>
      <c r="AC53" s="204">
        <v>9.2568682675889152E-5</v>
      </c>
    </row>
    <row r="54" spans="1:29" ht="14.45" customHeight="1" x14ac:dyDescent="0.25">
      <c r="A54" s="205" t="s">
        <v>321</v>
      </c>
      <c r="B54" s="119" t="e">
        <f>VLOOKUP(A54,#REF!,2,FALSE)</f>
        <v>#REF!</v>
      </c>
      <c r="C54" s="202">
        <v>5</v>
      </c>
      <c r="D54" s="202">
        <v>1</v>
      </c>
      <c r="E54" s="210">
        <v>0.2</v>
      </c>
      <c r="F54" s="211"/>
      <c r="G54" s="212">
        <v>4.833333333333333</v>
      </c>
      <c r="H54" s="212">
        <v>0.37267799624997022</v>
      </c>
      <c r="I54" s="202">
        <v>58</v>
      </c>
      <c r="J54" s="202">
        <v>426.05142857142852</v>
      </c>
      <c r="K54" s="204">
        <v>5.2475812854016859E-5</v>
      </c>
      <c r="L54" s="202">
        <v>0</v>
      </c>
      <c r="M54" s="202">
        <v>0</v>
      </c>
      <c r="N54" s="210"/>
      <c r="O54" s="211"/>
      <c r="P54" s="212"/>
      <c r="Q54" s="212"/>
      <c r="R54" s="202">
        <v>0</v>
      </c>
      <c r="S54" s="202">
        <v>0</v>
      </c>
      <c r="T54" s="204">
        <v>0</v>
      </c>
      <c r="U54" s="202">
        <v>5</v>
      </c>
      <c r="V54" s="202">
        <v>1</v>
      </c>
      <c r="W54" s="210">
        <v>0.2</v>
      </c>
      <c r="X54" s="211"/>
      <c r="Y54" s="212">
        <v>4.875</v>
      </c>
      <c r="Z54" s="212">
        <v>0.33071891388307384</v>
      </c>
      <c r="AA54" s="202">
        <v>58.5</v>
      </c>
      <c r="AB54" s="202">
        <v>426.05142857142852</v>
      </c>
      <c r="AC54" s="204">
        <v>4.9417765287929854E-5</v>
      </c>
    </row>
    <row r="55" spans="1:29" ht="14.45" customHeight="1" x14ac:dyDescent="0.25">
      <c r="A55" s="205" t="s">
        <v>320</v>
      </c>
      <c r="B55" s="119" t="e">
        <f>VLOOKUP(A55,#REF!,2,FALSE)</f>
        <v>#REF!</v>
      </c>
      <c r="C55" s="202">
        <v>25</v>
      </c>
      <c r="D55" s="202">
        <v>23</v>
      </c>
      <c r="E55" s="210">
        <v>0.92</v>
      </c>
      <c r="F55" s="211"/>
      <c r="G55" s="212">
        <v>4.583333333333333</v>
      </c>
      <c r="H55" s="212">
        <v>0.86200670273238433</v>
      </c>
      <c r="I55" s="202">
        <v>1265</v>
      </c>
      <c r="J55" s="202">
        <v>4125</v>
      </c>
      <c r="K55" s="204">
        <v>5.0806713346468468E-4</v>
      </c>
      <c r="L55" s="202">
        <v>5</v>
      </c>
      <c r="M55" s="202">
        <v>2</v>
      </c>
      <c r="N55" s="210">
        <v>0.4</v>
      </c>
      <c r="O55" s="211"/>
      <c r="P55" s="212">
        <v>3.75</v>
      </c>
      <c r="Q55" s="212">
        <v>1.0507933510765406</v>
      </c>
      <c r="R55" s="202">
        <v>90</v>
      </c>
      <c r="S55" s="202">
        <v>183.65142857142857</v>
      </c>
      <c r="T55" s="204">
        <v>3.6553614356688794E-4</v>
      </c>
      <c r="U55" s="202">
        <v>30</v>
      </c>
      <c r="V55" s="202">
        <v>25</v>
      </c>
      <c r="W55" s="210">
        <v>0.83333333333333337</v>
      </c>
      <c r="X55" s="211"/>
      <c r="Y55" s="212">
        <v>4.5166666666666666</v>
      </c>
      <c r="Z55" s="212">
        <v>0.90722409335045517</v>
      </c>
      <c r="AA55" s="202">
        <v>2051.1805825242718</v>
      </c>
      <c r="AB55" s="202">
        <v>4308.6514285714284</v>
      </c>
      <c r="AC55" s="204">
        <v>4.9976108686829418E-4</v>
      </c>
    </row>
    <row r="56" spans="1:29" ht="14.45" customHeight="1" x14ac:dyDescent="0.25">
      <c r="A56" s="205" t="s">
        <v>287</v>
      </c>
      <c r="B56" s="119" t="e">
        <f>VLOOKUP(A56,#REF!,2,FALSE)</f>
        <v>#REF!</v>
      </c>
      <c r="C56" s="202">
        <v>12</v>
      </c>
      <c r="D56" s="202">
        <v>3</v>
      </c>
      <c r="E56" s="210">
        <v>0.25</v>
      </c>
      <c r="F56" s="211"/>
      <c r="G56" s="212">
        <v>4.7222222222222223</v>
      </c>
      <c r="H56" s="212">
        <v>0.55832642339560445</v>
      </c>
      <c r="I56" s="202">
        <v>170</v>
      </c>
      <c r="J56" s="202">
        <v>1196.7514285714285</v>
      </c>
      <c r="K56" s="204">
        <v>1.4740122855370959E-4</v>
      </c>
      <c r="L56" s="202">
        <v>12</v>
      </c>
      <c r="M56" s="202">
        <v>9</v>
      </c>
      <c r="N56" s="210">
        <v>0.75</v>
      </c>
      <c r="O56" s="211"/>
      <c r="P56" s="212">
        <v>4.1388888888888893</v>
      </c>
      <c r="Q56" s="212">
        <v>1.3365124137465998</v>
      </c>
      <c r="R56" s="202">
        <v>447</v>
      </c>
      <c r="S56" s="202">
        <v>596</v>
      </c>
      <c r="T56" s="204">
        <v>1.1862665227302159E-3</v>
      </c>
      <c r="U56" s="202">
        <v>24</v>
      </c>
      <c r="V56" s="202">
        <v>12</v>
      </c>
      <c r="W56" s="210">
        <v>0.5</v>
      </c>
      <c r="X56" s="211"/>
      <c r="Y56" s="212">
        <v>4.2847222222222223</v>
      </c>
      <c r="Z56" s="212">
        <v>1.2171414281721078</v>
      </c>
      <c r="AA56" s="202">
        <v>695.91860465116281</v>
      </c>
      <c r="AB56" s="202">
        <v>1792.7514285714285</v>
      </c>
      <c r="AC56" s="204">
        <v>2.0794149103971576E-4</v>
      </c>
    </row>
    <row r="57" spans="1:29" ht="14.45" customHeight="1" x14ac:dyDescent="0.25">
      <c r="A57" s="205" t="s">
        <v>349</v>
      </c>
      <c r="B57" s="119" t="e">
        <f>VLOOKUP(A57,#REF!,2,FALSE)</f>
        <v>#REF!</v>
      </c>
      <c r="C57" s="202">
        <v>2437</v>
      </c>
      <c r="D57" s="202">
        <v>945</v>
      </c>
      <c r="E57" s="210">
        <v>0.38777185063602793</v>
      </c>
      <c r="F57" s="211"/>
      <c r="G57" s="212">
        <v>4.1297568710359407</v>
      </c>
      <c r="H57" s="212">
        <v>1.0400654273208874</v>
      </c>
      <c r="I57" s="202">
        <v>46831.442917547567</v>
      </c>
      <c r="J57" s="202">
        <v>290193.4038279918</v>
      </c>
      <c r="K57" s="204">
        <v>3.5742480201999383E-2</v>
      </c>
      <c r="L57" s="202">
        <v>312</v>
      </c>
      <c r="M57" s="202">
        <v>43</v>
      </c>
      <c r="N57" s="210">
        <v>0.13782051282051283</v>
      </c>
      <c r="O57" s="211"/>
      <c r="P57" s="212">
        <v>4.0795454545454541</v>
      </c>
      <c r="Q57" s="212">
        <v>1.1270260299462089</v>
      </c>
      <c r="R57" s="202">
        <v>2105.0454545454545</v>
      </c>
      <c r="S57" s="202">
        <v>5154.3541558441557</v>
      </c>
      <c r="T57" s="204">
        <v>1.0259123794250478E-2</v>
      </c>
      <c r="U57" s="202">
        <v>2749</v>
      </c>
      <c r="V57" s="202">
        <v>988</v>
      </c>
      <c r="W57" s="210">
        <v>0.35940341942524556</v>
      </c>
      <c r="X57" s="211"/>
      <c r="Y57" s="212">
        <v>4.1275252525252526</v>
      </c>
      <c r="Z57" s="212">
        <v>1.0441354277342809</v>
      </c>
      <c r="AA57" s="202">
        <v>83009.86956306106</v>
      </c>
      <c r="AB57" s="202">
        <v>295347.75798383594</v>
      </c>
      <c r="AC57" s="204">
        <v>3.4257428102754402E-2</v>
      </c>
    </row>
    <row r="58" spans="1:29" ht="14.45" customHeight="1" x14ac:dyDescent="0.25">
      <c r="A58" s="205" t="s">
        <v>343</v>
      </c>
      <c r="B58" s="119" t="e">
        <f>VLOOKUP(A58,#REF!,2,FALSE)</f>
        <v>#REF!</v>
      </c>
      <c r="C58" s="202">
        <v>4</v>
      </c>
      <c r="D58" s="202">
        <v>2</v>
      </c>
      <c r="E58" s="210">
        <v>0.5</v>
      </c>
      <c r="F58" s="211"/>
      <c r="G58" s="212">
        <v>4.333333333333333</v>
      </c>
      <c r="H58" s="212">
        <v>0.74535599249993101</v>
      </c>
      <c r="I58" s="202">
        <v>104</v>
      </c>
      <c r="J58" s="202">
        <v>573.01028571428571</v>
      </c>
      <c r="K58" s="204">
        <v>7.0576410499063544E-5</v>
      </c>
      <c r="L58" s="202">
        <v>1</v>
      </c>
      <c r="M58" s="202">
        <v>1</v>
      </c>
      <c r="N58" s="210">
        <v>1</v>
      </c>
      <c r="O58" s="211"/>
      <c r="P58" s="212">
        <v>4.583333333333333</v>
      </c>
      <c r="Q58" s="212">
        <v>0.49300664859163629</v>
      </c>
      <c r="R58" s="202">
        <v>55</v>
      </c>
      <c r="S58" s="202">
        <v>55</v>
      </c>
      <c r="T58" s="204">
        <v>1.0947090394322464E-4</v>
      </c>
      <c r="U58" s="202">
        <v>5</v>
      </c>
      <c r="V58" s="202">
        <v>3</v>
      </c>
      <c r="W58" s="210">
        <v>0.6</v>
      </c>
      <c r="X58" s="211"/>
      <c r="Y58" s="212">
        <v>4.416666666666667</v>
      </c>
      <c r="Z58" s="212">
        <v>0.68211273098936875</v>
      </c>
      <c r="AA58" s="202">
        <v>225.25</v>
      </c>
      <c r="AB58" s="202">
        <v>628.01028571428571</v>
      </c>
      <c r="AC58" s="204">
        <v>7.2843001611086665E-5</v>
      </c>
    </row>
    <row r="59" spans="1:29" ht="14.45" customHeight="1" x14ac:dyDescent="0.25">
      <c r="A59" s="205" t="s">
        <v>219</v>
      </c>
      <c r="B59" s="119" t="e">
        <f>VLOOKUP(A59,#REF!,2,FALSE)</f>
        <v>#REF!</v>
      </c>
      <c r="C59" s="202">
        <v>556</v>
      </c>
      <c r="D59" s="202">
        <v>425</v>
      </c>
      <c r="E59" s="210">
        <v>0.76438848920863312</v>
      </c>
      <c r="F59" s="211"/>
      <c r="G59" s="212">
        <v>4.2350980392156865</v>
      </c>
      <c r="H59" s="212">
        <v>0.96498678757391909</v>
      </c>
      <c r="I59" s="202">
        <v>21599</v>
      </c>
      <c r="J59" s="202">
        <v>84769.722352941186</v>
      </c>
      <c r="K59" s="204">
        <v>1.0440899355262068E-2</v>
      </c>
      <c r="L59" s="202">
        <v>148</v>
      </c>
      <c r="M59" s="202">
        <v>93</v>
      </c>
      <c r="N59" s="210">
        <v>0.6283783783783784</v>
      </c>
      <c r="O59" s="211"/>
      <c r="P59" s="212">
        <v>4.174731182795699</v>
      </c>
      <c r="Q59" s="212">
        <v>1.012877399620526</v>
      </c>
      <c r="R59" s="202">
        <v>4659</v>
      </c>
      <c r="S59" s="202">
        <v>7336.4319613899606</v>
      </c>
      <c r="T59" s="204">
        <v>1.4602287973296791E-2</v>
      </c>
      <c r="U59" s="202">
        <v>704</v>
      </c>
      <c r="V59" s="202">
        <v>518</v>
      </c>
      <c r="W59" s="210">
        <v>0.73579545454545459</v>
      </c>
      <c r="X59" s="211"/>
      <c r="Y59" s="212">
        <v>4.224259974259974</v>
      </c>
      <c r="Z59" s="212">
        <v>0.974033989642901</v>
      </c>
      <c r="AA59" s="202">
        <v>36539.407217072723</v>
      </c>
      <c r="AB59" s="202">
        <v>92106.154314331143</v>
      </c>
      <c r="AC59" s="204">
        <v>1.0683405829060293E-2</v>
      </c>
    </row>
    <row r="60" spans="1:29" ht="14.45" customHeight="1" x14ac:dyDescent="0.25">
      <c r="A60" s="205" t="s">
        <v>259</v>
      </c>
      <c r="B60" s="119" t="e">
        <f>VLOOKUP(A60,#REF!,2,FALSE)</f>
        <v>#REF!</v>
      </c>
      <c r="C60" s="202">
        <v>531</v>
      </c>
      <c r="D60" s="202">
        <v>180</v>
      </c>
      <c r="E60" s="210">
        <v>0.33898305084745761</v>
      </c>
      <c r="F60" s="211"/>
      <c r="G60" s="212">
        <v>4.378703703703704</v>
      </c>
      <c r="H60" s="212">
        <v>0.86821986099335235</v>
      </c>
      <c r="I60" s="202">
        <v>9458</v>
      </c>
      <c r="J60" s="202">
        <v>61431.01534140436</v>
      </c>
      <c r="K60" s="204">
        <v>7.5663223928078499E-3</v>
      </c>
      <c r="L60" s="202">
        <v>229</v>
      </c>
      <c r="M60" s="202">
        <v>55</v>
      </c>
      <c r="N60" s="210">
        <v>0.24017467248908297</v>
      </c>
      <c r="O60" s="211"/>
      <c r="P60" s="212">
        <v>4.0727272727272723</v>
      </c>
      <c r="Q60" s="212">
        <v>1.0404756276244265</v>
      </c>
      <c r="R60" s="202">
        <v>2688</v>
      </c>
      <c r="S60" s="202">
        <v>6361.4613799126637</v>
      </c>
      <c r="T60" s="204">
        <v>1.2661725957435499E-2</v>
      </c>
      <c r="U60" s="202">
        <v>760</v>
      </c>
      <c r="V60" s="202">
        <v>235</v>
      </c>
      <c r="W60" s="210">
        <v>0.30921052631578949</v>
      </c>
      <c r="X60" s="211"/>
      <c r="Y60" s="212">
        <v>4.30709219858156</v>
      </c>
      <c r="Z60" s="212">
        <v>0.92061846234015421</v>
      </c>
      <c r="AA60" s="202">
        <v>14707.761800897157</v>
      </c>
      <c r="AB60" s="202">
        <v>67792.476721317027</v>
      </c>
      <c r="AC60" s="204">
        <v>7.8632589359803832E-3</v>
      </c>
    </row>
    <row r="61" spans="1:29" ht="14.45" customHeight="1" x14ac:dyDescent="0.25">
      <c r="A61" s="205" t="s">
        <v>324</v>
      </c>
      <c r="B61" s="119" t="e">
        <f>VLOOKUP(A61,#REF!,2,FALSE)</f>
        <v>#REF!</v>
      </c>
      <c r="C61" s="202">
        <v>1078</v>
      </c>
      <c r="D61" s="202">
        <v>628</v>
      </c>
      <c r="E61" s="210">
        <v>0.58256029684601118</v>
      </c>
      <c r="F61" s="211"/>
      <c r="G61" s="212">
        <v>4.1944879832810864</v>
      </c>
      <c r="H61" s="212">
        <v>0.97790422916180786</v>
      </c>
      <c r="I61" s="202">
        <v>31609.661442006269</v>
      </c>
      <c r="J61" s="202">
        <v>158188.82065866777</v>
      </c>
      <c r="K61" s="204">
        <v>1.948376743229295E-2</v>
      </c>
      <c r="L61" s="202">
        <v>128</v>
      </c>
      <c r="M61" s="202">
        <v>70</v>
      </c>
      <c r="N61" s="210">
        <v>0.546875</v>
      </c>
      <c r="O61" s="211"/>
      <c r="P61" s="212">
        <v>4.5047619047619047</v>
      </c>
      <c r="Q61" s="212">
        <v>0.86463655479171464</v>
      </c>
      <c r="R61" s="202">
        <v>3784</v>
      </c>
      <c r="S61" s="202">
        <v>6587.7412857142854</v>
      </c>
      <c r="T61" s="204">
        <v>1.3112108972568067E-2</v>
      </c>
      <c r="U61" s="202">
        <v>1206</v>
      </c>
      <c r="V61" s="202">
        <v>698</v>
      </c>
      <c r="W61" s="210">
        <v>0.5787728026533997</v>
      </c>
      <c r="X61" s="211"/>
      <c r="Y61" s="212">
        <v>4.2251647834274957</v>
      </c>
      <c r="Z61" s="212">
        <v>0.97171992622924885</v>
      </c>
      <c r="AA61" s="202">
        <v>56365.982083778705</v>
      </c>
      <c r="AB61" s="202">
        <v>164776.56194438206</v>
      </c>
      <c r="AC61" s="204">
        <v>1.9112456659101034E-2</v>
      </c>
    </row>
    <row r="62" spans="1:29" ht="14.45" customHeight="1" x14ac:dyDescent="0.25">
      <c r="A62" s="205" t="s">
        <v>317</v>
      </c>
      <c r="B62" s="119" t="e">
        <f>VLOOKUP(A62,#REF!,2,FALSE)</f>
        <v>#REF!</v>
      </c>
      <c r="C62" s="202">
        <v>12</v>
      </c>
      <c r="D62" s="202">
        <v>12</v>
      </c>
      <c r="E62" s="210">
        <v>1</v>
      </c>
      <c r="F62" s="211"/>
      <c r="G62" s="212">
        <v>4.333333333333333</v>
      </c>
      <c r="H62" s="212">
        <v>0.83333333333333448</v>
      </c>
      <c r="I62" s="202">
        <v>624</v>
      </c>
      <c r="J62" s="202">
        <v>1872</v>
      </c>
      <c r="K62" s="204">
        <v>2.3057010275051872E-4</v>
      </c>
      <c r="L62" s="202">
        <v>7</v>
      </c>
      <c r="M62" s="202">
        <v>3</v>
      </c>
      <c r="N62" s="210">
        <v>0.42857142857142855</v>
      </c>
      <c r="O62" s="211"/>
      <c r="P62" s="212">
        <v>4.4722222222222223</v>
      </c>
      <c r="Q62" s="212">
        <v>0.60028285513817448</v>
      </c>
      <c r="R62" s="202">
        <v>161</v>
      </c>
      <c r="S62" s="202">
        <v>319.14799999999997</v>
      </c>
      <c r="T62" s="204">
        <v>6.3522581912131364E-4</v>
      </c>
      <c r="U62" s="202">
        <v>19</v>
      </c>
      <c r="V62" s="202">
        <v>15</v>
      </c>
      <c r="W62" s="210">
        <v>0.78947368421052633</v>
      </c>
      <c r="X62" s="211"/>
      <c r="Y62" s="212">
        <v>4.3611111111111107</v>
      </c>
      <c r="Z62" s="212">
        <v>0.79417244761022199</v>
      </c>
      <c r="AA62" s="202">
        <v>1067.5999999999999</v>
      </c>
      <c r="AB62" s="202">
        <v>2191.1480000000001</v>
      </c>
      <c r="AC62" s="204">
        <v>2.5415156554735801E-4</v>
      </c>
    </row>
    <row r="63" spans="1:29" ht="14.45" customHeight="1" x14ac:dyDescent="0.25">
      <c r="A63" s="205" t="s">
        <v>371</v>
      </c>
      <c r="B63" s="119" t="e">
        <f>VLOOKUP(A63,#REF!,2,FALSE)</f>
        <v>#REF!</v>
      </c>
      <c r="C63" s="202">
        <v>4</v>
      </c>
      <c r="D63" s="202">
        <v>3</v>
      </c>
      <c r="E63" s="210">
        <v>0.75</v>
      </c>
      <c r="F63" s="211"/>
      <c r="G63" s="212">
        <v>3.8333333333333335</v>
      </c>
      <c r="H63" s="212">
        <v>0.83333333333333237</v>
      </c>
      <c r="I63" s="202">
        <v>138</v>
      </c>
      <c r="J63" s="202">
        <v>552</v>
      </c>
      <c r="K63" s="204">
        <v>6.7988620041819619E-5</v>
      </c>
      <c r="L63" s="211"/>
      <c r="M63" s="211"/>
      <c r="N63" s="211"/>
      <c r="O63" s="211"/>
      <c r="P63" s="211"/>
      <c r="Q63" s="211"/>
      <c r="R63" s="211"/>
      <c r="S63" s="211"/>
      <c r="T63" s="211"/>
      <c r="U63" s="202">
        <v>4</v>
      </c>
      <c r="V63" s="202">
        <v>3</v>
      </c>
      <c r="W63" s="210">
        <v>0.75</v>
      </c>
      <c r="X63" s="211"/>
      <c r="Y63" s="212">
        <v>3.8333333333333335</v>
      </c>
      <c r="Z63" s="212">
        <v>0.83333333333333237</v>
      </c>
      <c r="AA63" s="202">
        <v>138</v>
      </c>
      <c r="AB63" s="202">
        <v>552</v>
      </c>
      <c r="AC63" s="204">
        <v>6.4026557851017645E-5</v>
      </c>
    </row>
    <row r="64" spans="1:29" ht="14.45" customHeight="1" x14ac:dyDescent="0.25">
      <c r="A64" s="205" t="s">
        <v>237</v>
      </c>
      <c r="B64" s="119" t="e">
        <f>VLOOKUP(A64,#REF!,2,FALSE)</f>
        <v>#REF!</v>
      </c>
      <c r="C64" s="202">
        <v>625</v>
      </c>
      <c r="D64" s="202">
        <v>306</v>
      </c>
      <c r="E64" s="210">
        <v>0.48959999999999998</v>
      </c>
      <c r="F64" s="211"/>
      <c r="G64" s="212">
        <v>4.0382736156351795</v>
      </c>
      <c r="H64" s="212">
        <v>1.0094025146269103</v>
      </c>
      <c r="I64" s="202">
        <v>14828.540716612379</v>
      </c>
      <c r="J64" s="202">
        <v>82644.829582146107</v>
      </c>
      <c r="K64" s="204">
        <v>1.0179181008843236E-2</v>
      </c>
      <c r="L64" s="202">
        <v>35</v>
      </c>
      <c r="M64" s="202">
        <v>19</v>
      </c>
      <c r="N64" s="210">
        <v>0.54285714285714282</v>
      </c>
      <c r="O64" s="211"/>
      <c r="P64" s="212">
        <v>4.395833333333333</v>
      </c>
      <c r="Q64" s="212">
        <v>0.87890991511581673</v>
      </c>
      <c r="R64" s="202">
        <v>1002.25</v>
      </c>
      <c r="S64" s="202">
        <v>1753.0784285714285</v>
      </c>
      <c r="T64" s="204">
        <v>3.489292368346946E-3</v>
      </c>
      <c r="U64" s="202">
        <v>660</v>
      </c>
      <c r="V64" s="202">
        <v>325</v>
      </c>
      <c r="W64" s="210">
        <v>0.49242424242424243</v>
      </c>
      <c r="X64" s="211"/>
      <c r="Y64" s="212">
        <v>4.060142711518858</v>
      </c>
      <c r="Z64" s="212">
        <v>1.0055663529240197</v>
      </c>
      <c r="AA64" s="202">
        <v>27771.376146788989</v>
      </c>
      <c r="AB64" s="202">
        <v>84397.90801071754</v>
      </c>
      <c r="AC64" s="204">
        <v>9.789325253175855E-3</v>
      </c>
    </row>
    <row r="65" spans="1:29" ht="14.45" customHeight="1" x14ac:dyDescent="0.25">
      <c r="A65" s="205" t="s">
        <v>369</v>
      </c>
      <c r="B65" s="119" t="e">
        <f>VLOOKUP(A65,#REF!,2,FALSE)</f>
        <v>#REF!</v>
      </c>
      <c r="C65" s="202">
        <v>54</v>
      </c>
      <c r="D65" s="202">
        <v>38</v>
      </c>
      <c r="E65" s="210">
        <v>0.70370370370370372</v>
      </c>
      <c r="F65" s="211"/>
      <c r="G65" s="212">
        <v>4.5372807017543861</v>
      </c>
      <c r="H65" s="212">
        <v>0.79660219781105246</v>
      </c>
      <c r="I65" s="202">
        <v>2069</v>
      </c>
      <c r="J65" s="202">
        <v>8820.4736842105267</v>
      </c>
      <c r="K65" s="204">
        <v>1.0863982498272797E-3</v>
      </c>
      <c r="L65" s="202">
        <v>21</v>
      </c>
      <c r="M65" s="202">
        <v>6</v>
      </c>
      <c r="N65" s="210">
        <v>0.2857142857142857</v>
      </c>
      <c r="O65" s="211"/>
      <c r="P65" s="212">
        <v>4.625</v>
      </c>
      <c r="Q65" s="212">
        <v>0.771677465727172</v>
      </c>
      <c r="R65" s="202">
        <v>333</v>
      </c>
      <c r="S65" s="202">
        <v>757.14685714285713</v>
      </c>
      <c r="T65" s="204">
        <v>1.5070100158036388E-3</v>
      </c>
      <c r="U65" s="202">
        <v>75</v>
      </c>
      <c r="V65" s="202">
        <v>44</v>
      </c>
      <c r="W65" s="210">
        <v>0.58666666666666667</v>
      </c>
      <c r="X65" s="211"/>
      <c r="Y65" s="212">
        <v>4.5492424242424239</v>
      </c>
      <c r="Z65" s="212">
        <v>0.7938204716625098</v>
      </c>
      <c r="AA65" s="202">
        <v>3028.8812527185733</v>
      </c>
      <c r="AB65" s="202">
        <v>9577.6205413533844</v>
      </c>
      <c r="AC65" s="204">
        <v>1.1109095573660461E-3</v>
      </c>
    </row>
    <row r="66" spans="1:29" ht="14.45" customHeight="1" x14ac:dyDescent="0.25">
      <c r="A66" s="205" t="s">
        <v>346</v>
      </c>
      <c r="B66" s="119" t="e">
        <f>VLOOKUP(A66,#REF!,2,FALSE)</f>
        <v>#REF!</v>
      </c>
      <c r="C66" s="202">
        <v>42</v>
      </c>
      <c r="D66" s="202">
        <v>40</v>
      </c>
      <c r="E66" s="210">
        <v>0.95238095238095233</v>
      </c>
      <c r="F66" s="211"/>
      <c r="G66" s="212">
        <v>4.614583333333333</v>
      </c>
      <c r="H66" s="212">
        <v>0.77419032525744325</v>
      </c>
      <c r="I66" s="202">
        <v>2215</v>
      </c>
      <c r="J66" s="202">
        <v>6977.25</v>
      </c>
      <c r="K66" s="204">
        <v>8.5937246229490208E-4</v>
      </c>
      <c r="L66" s="202">
        <v>14</v>
      </c>
      <c r="M66" s="202">
        <v>13</v>
      </c>
      <c r="N66" s="210">
        <v>0.9285714285714286</v>
      </c>
      <c r="O66" s="211"/>
      <c r="P66" s="212">
        <v>4.5</v>
      </c>
      <c r="Q66" s="212">
        <v>0.69337524528153582</v>
      </c>
      <c r="R66" s="202">
        <v>702</v>
      </c>
      <c r="S66" s="202">
        <v>756</v>
      </c>
      <c r="T66" s="204">
        <v>1.504727334201415E-3</v>
      </c>
      <c r="U66" s="202">
        <v>56</v>
      </c>
      <c r="V66" s="202">
        <v>53</v>
      </c>
      <c r="W66" s="210">
        <v>0.9464285714285714</v>
      </c>
      <c r="X66" s="211"/>
      <c r="Y66" s="212">
        <v>4.5864779874213832</v>
      </c>
      <c r="Z66" s="212">
        <v>0.75677621324724209</v>
      </c>
      <c r="AA66" s="202">
        <v>3733.0219216926603</v>
      </c>
      <c r="AB66" s="202">
        <v>7733.25</v>
      </c>
      <c r="AC66" s="204">
        <v>8.9698075815467795E-4</v>
      </c>
    </row>
    <row r="67" spans="1:29" ht="14.45" customHeight="1" x14ac:dyDescent="0.25">
      <c r="A67" s="205" t="s">
        <v>351</v>
      </c>
      <c r="B67" s="119" t="e">
        <f>VLOOKUP(A67,#REF!,2,FALSE)</f>
        <v>#REF!</v>
      </c>
      <c r="C67" s="202">
        <v>900</v>
      </c>
      <c r="D67" s="202">
        <v>736</v>
      </c>
      <c r="E67" s="210">
        <v>0.81777777777777783</v>
      </c>
      <c r="F67" s="211"/>
      <c r="G67" s="212">
        <v>4.1523066485753048</v>
      </c>
      <c r="H67" s="212">
        <v>0.93827134373250065</v>
      </c>
      <c r="I67" s="202">
        <v>36673.172320217098</v>
      </c>
      <c r="J67" s="202">
        <v>134534.7354138399</v>
      </c>
      <c r="K67" s="204">
        <v>1.6570346029851985E-2</v>
      </c>
      <c r="L67" s="202">
        <v>95</v>
      </c>
      <c r="M67" s="202">
        <v>49</v>
      </c>
      <c r="N67" s="210">
        <v>0.51578947368421058</v>
      </c>
      <c r="O67" s="211"/>
      <c r="P67" s="212">
        <v>4.22108843537415</v>
      </c>
      <c r="Q67" s="212">
        <v>0.95052662041878555</v>
      </c>
      <c r="R67" s="202">
        <v>2482</v>
      </c>
      <c r="S67" s="202">
        <v>4478.4237593984963</v>
      </c>
      <c r="T67" s="204">
        <v>8.9137654033121412E-3</v>
      </c>
      <c r="U67" s="202">
        <v>995</v>
      </c>
      <c r="V67" s="202">
        <v>785</v>
      </c>
      <c r="W67" s="210">
        <v>0.78894472361809043</v>
      </c>
      <c r="X67" s="211"/>
      <c r="Y67" s="212">
        <v>4.1565945716709072</v>
      </c>
      <c r="Z67" s="212">
        <v>0.93918726130315255</v>
      </c>
      <c r="AA67" s="202">
        <v>64405.743070218181</v>
      </c>
      <c r="AB67" s="202">
        <v>139013.15917323838</v>
      </c>
      <c r="AC67" s="204">
        <v>1.6124155938148681E-2</v>
      </c>
    </row>
    <row r="68" spans="1:29" ht="14.45" customHeight="1" x14ac:dyDescent="0.25">
      <c r="A68" s="205" t="s">
        <v>283</v>
      </c>
      <c r="B68" s="119" t="e">
        <f>VLOOKUP(A68,#REF!,2,FALSE)</f>
        <v>#REF!</v>
      </c>
      <c r="C68" s="202">
        <v>405</v>
      </c>
      <c r="D68" s="202">
        <v>339</v>
      </c>
      <c r="E68" s="210">
        <v>0.83703703703703702</v>
      </c>
      <c r="F68" s="211"/>
      <c r="G68" s="212">
        <v>4.1627335299901675</v>
      </c>
      <c r="H68" s="212">
        <v>0.94596779262665553</v>
      </c>
      <c r="I68" s="202">
        <v>16934</v>
      </c>
      <c r="J68" s="202">
        <v>60692.654867256642</v>
      </c>
      <c r="K68" s="204">
        <v>7.4753801650347942E-3</v>
      </c>
      <c r="L68" s="202">
        <v>56</v>
      </c>
      <c r="M68" s="202">
        <v>40</v>
      </c>
      <c r="N68" s="210">
        <v>0.7142857142857143</v>
      </c>
      <c r="O68" s="211"/>
      <c r="P68" s="212">
        <v>4.0583333333333336</v>
      </c>
      <c r="Q68" s="212">
        <v>1.1165111832051737</v>
      </c>
      <c r="R68" s="202">
        <v>1948</v>
      </c>
      <c r="S68" s="202">
        <v>2727.2</v>
      </c>
      <c r="T68" s="204">
        <v>5.4281645315265858E-3</v>
      </c>
      <c r="U68" s="202">
        <v>461</v>
      </c>
      <c r="V68" s="202">
        <v>379</v>
      </c>
      <c r="W68" s="210">
        <v>0.82212581344902391</v>
      </c>
      <c r="X68" s="211"/>
      <c r="Y68" s="212">
        <v>4.1517150395778364</v>
      </c>
      <c r="Z68" s="212">
        <v>0.96592296430679181</v>
      </c>
      <c r="AA68" s="202">
        <v>29974.507100537707</v>
      </c>
      <c r="AB68" s="202">
        <v>63419.854867256639</v>
      </c>
      <c r="AC68" s="204">
        <v>7.3560779104375916E-3</v>
      </c>
    </row>
    <row r="69" spans="1:29" ht="14.45" customHeight="1" x14ac:dyDescent="0.25">
      <c r="A69" s="205" t="s">
        <v>276</v>
      </c>
      <c r="B69" s="119" t="e">
        <f>VLOOKUP(A69,#REF!,2,FALSE)</f>
        <v>#REF!</v>
      </c>
      <c r="C69" s="202">
        <v>27</v>
      </c>
      <c r="D69" s="202">
        <v>18</v>
      </c>
      <c r="E69" s="210">
        <v>0.66666666666666663</v>
      </c>
      <c r="F69" s="211"/>
      <c r="G69" s="212">
        <v>4.1759259259259256</v>
      </c>
      <c r="H69" s="212">
        <v>1.099904909220724</v>
      </c>
      <c r="I69" s="202">
        <v>902</v>
      </c>
      <c r="J69" s="202">
        <v>4049.722285714286</v>
      </c>
      <c r="K69" s="204">
        <v>4.9879534376506861E-4</v>
      </c>
      <c r="L69" s="202">
        <v>9</v>
      </c>
      <c r="M69" s="202">
        <v>4</v>
      </c>
      <c r="N69" s="210">
        <v>0.44444444444444442</v>
      </c>
      <c r="O69" s="211"/>
      <c r="P69" s="212">
        <v>4.416666666666667</v>
      </c>
      <c r="Q69" s="212">
        <v>0.95379359518829931</v>
      </c>
      <c r="R69" s="202">
        <v>212</v>
      </c>
      <c r="S69" s="202">
        <v>413.37980952380957</v>
      </c>
      <c r="T69" s="204">
        <v>8.2278293491726284E-4</v>
      </c>
      <c r="U69" s="202">
        <v>36</v>
      </c>
      <c r="V69" s="202">
        <v>22</v>
      </c>
      <c r="W69" s="210">
        <v>0.61111111111111116</v>
      </c>
      <c r="X69" s="211"/>
      <c r="Y69" s="212">
        <v>4.2196969696969697</v>
      </c>
      <c r="Z69" s="212">
        <v>1.0788208626213998</v>
      </c>
      <c r="AA69" s="202">
        <v>1457.9261926192621</v>
      </c>
      <c r="AB69" s="202">
        <v>4463.1020952380959</v>
      </c>
      <c r="AC69" s="204">
        <v>5.1767584147782611E-4</v>
      </c>
    </row>
    <row r="70" spans="1:29" ht="14.45" customHeight="1" x14ac:dyDescent="0.25">
      <c r="A70" s="205" t="s">
        <v>382</v>
      </c>
      <c r="B70" s="119" t="e">
        <f>VLOOKUP(A70,#REF!,2,FALSE)</f>
        <v>#REF!</v>
      </c>
      <c r="C70" s="202">
        <v>127</v>
      </c>
      <c r="D70" s="202">
        <v>100</v>
      </c>
      <c r="E70" s="210">
        <v>0.78740157480314965</v>
      </c>
      <c r="F70" s="211"/>
      <c r="G70" s="212">
        <v>4.5734323432343231</v>
      </c>
      <c r="H70" s="212">
        <v>0.71549592845828502</v>
      </c>
      <c r="I70" s="202">
        <v>5488.1188118811879</v>
      </c>
      <c r="J70" s="202">
        <v>20909.732673267325</v>
      </c>
      <c r="K70" s="204">
        <v>2.5754055614108577E-3</v>
      </c>
      <c r="L70" s="202">
        <v>2</v>
      </c>
      <c r="M70" s="202">
        <v>1</v>
      </c>
      <c r="N70" s="210">
        <v>0.5</v>
      </c>
      <c r="O70" s="211"/>
      <c r="P70" s="212">
        <v>4.583333333333333</v>
      </c>
      <c r="Q70" s="212">
        <v>0.64009547898905284</v>
      </c>
      <c r="R70" s="202">
        <v>55</v>
      </c>
      <c r="S70" s="202">
        <v>101.01142857142857</v>
      </c>
      <c r="T70" s="204">
        <v>2.010511344420137E-4</v>
      </c>
      <c r="U70" s="202">
        <v>129</v>
      </c>
      <c r="V70" s="202">
        <v>101</v>
      </c>
      <c r="W70" s="210">
        <v>0.78294573643410847</v>
      </c>
      <c r="X70" s="211"/>
      <c r="Y70" s="212">
        <v>4.5735294117647056</v>
      </c>
      <c r="Z70" s="212">
        <v>0.71479598130276589</v>
      </c>
      <c r="AA70" s="202">
        <v>10636.886029411764</v>
      </c>
      <c r="AB70" s="202">
        <v>21010.744101838754</v>
      </c>
      <c r="AC70" s="204">
        <v>2.4370391716110633E-3</v>
      </c>
    </row>
    <row r="71" spans="1:29" ht="14.45" customHeight="1" x14ac:dyDescent="0.25">
      <c r="A71" s="205" t="s">
        <v>254</v>
      </c>
      <c r="B71" s="119" t="e">
        <f>VLOOKUP(A71,#REF!,2,FALSE)</f>
        <v>#REF!</v>
      </c>
      <c r="C71" s="202">
        <v>2917</v>
      </c>
      <c r="D71" s="202">
        <v>1715</v>
      </c>
      <c r="E71" s="210">
        <v>0.58793280767912237</v>
      </c>
      <c r="F71" s="211"/>
      <c r="G71" s="212">
        <v>4.1726919339164237</v>
      </c>
      <c r="H71" s="212">
        <v>0.99401153627601679</v>
      </c>
      <c r="I71" s="202">
        <v>85874</v>
      </c>
      <c r="J71" s="202">
        <v>426928.2159804104</v>
      </c>
      <c r="K71" s="204">
        <v>5.2583804821420339E-2</v>
      </c>
      <c r="L71" s="202">
        <v>552</v>
      </c>
      <c r="M71" s="202">
        <v>245</v>
      </c>
      <c r="N71" s="210">
        <v>0.4438405797101449</v>
      </c>
      <c r="O71" s="211"/>
      <c r="P71" s="212">
        <v>4.137561274509804</v>
      </c>
      <c r="Q71" s="212">
        <v>1.0952262429316681</v>
      </c>
      <c r="R71" s="202">
        <v>12164.430147058823</v>
      </c>
      <c r="S71" s="202">
        <v>23734.465437180308</v>
      </c>
      <c r="T71" s="204">
        <v>4.7240607018497284E-2</v>
      </c>
      <c r="U71" s="202">
        <v>3469</v>
      </c>
      <c r="V71" s="202">
        <v>1960</v>
      </c>
      <c r="W71" s="210">
        <v>0.56500432401268375</v>
      </c>
      <c r="X71" s="211"/>
      <c r="Y71" s="212">
        <v>4.1678829055527595</v>
      </c>
      <c r="Z71" s="212">
        <v>1.0085393809782912</v>
      </c>
      <c r="AA71" s="202">
        <v>144428.57301218004</v>
      </c>
      <c r="AB71" s="202">
        <v>450662.68141759071</v>
      </c>
      <c r="AC71" s="204">
        <v>5.2272427976590777E-2</v>
      </c>
    </row>
    <row r="72" spans="1:29" ht="14.45" customHeight="1" x14ac:dyDescent="0.25">
      <c r="A72" s="205" t="s">
        <v>296</v>
      </c>
      <c r="B72" s="119" t="e">
        <f>VLOOKUP(A72,#REF!,2,FALSE)</f>
        <v>#REF!</v>
      </c>
      <c r="C72" s="202">
        <v>1415</v>
      </c>
      <c r="D72" s="202">
        <v>520</v>
      </c>
      <c r="E72" s="210">
        <v>0.36749116607773852</v>
      </c>
      <c r="F72" s="211"/>
      <c r="G72" s="212">
        <v>4.2285256410256409</v>
      </c>
      <c r="H72" s="212">
        <v>0.9342248291465064</v>
      </c>
      <c r="I72" s="202">
        <v>26386</v>
      </c>
      <c r="J72" s="202">
        <v>166777.15506511863</v>
      </c>
      <c r="K72" s="204">
        <v>2.0541573600322435E-2</v>
      </c>
      <c r="L72" s="202">
        <v>207</v>
      </c>
      <c r="M72" s="202">
        <v>45</v>
      </c>
      <c r="N72" s="210">
        <v>0.21739130434782608</v>
      </c>
      <c r="O72" s="211"/>
      <c r="P72" s="212">
        <v>3.8925925925925924</v>
      </c>
      <c r="Q72" s="212">
        <v>1.2603426711946319</v>
      </c>
      <c r="R72" s="202">
        <v>2102</v>
      </c>
      <c r="S72" s="202">
        <v>5072.3218385093169</v>
      </c>
      <c r="T72" s="204">
        <v>1.0095848304592255E-2</v>
      </c>
      <c r="U72" s="202">
        <v>1622</v>
      </c>
      <c r="V72" s="202">
        <v>565</v>
      </c>
      <c r="W72" s="210">
        <v>0.34833538840937117</v>
      </c>
      <c r="X72" s="211"/>
      <c r="Y72" s="212">
        <v>4.2017699115044245</v>
      </c>
      <c r="Z72" s="212">
        <v>0.96852979549335616</v>
      </c>
      <c r="AA72" s="202">
        <v>44801.566134311339</v>
      </c>
      <c r="AB72" s="202">
        <v>171849.47690362795</v>
      </c>
      <c r="AC72" s="204">
        <v>1.9932845062748651E-2</v>
      </c>
    </row>
    <row r="73" spans="1:29" ht="14.45" customHeight="1" x14ac:dyDescent="0.25">
      <c r="A73" s="205" t="s">
        <v>344</v>
      </c>
      <c r="B73" s="119" t="e">
        <f>VLOOKUP(A73,#REF!,2,FALSE)</f>
        <v>#REF!</v>
      </c>
      <c r="C73" s="202">
        <v>26</v>
      </c>
      <c r="D73" s="202">
        <v>17</v>
      </c>
      <c r="E73" s="210">
        <v>0.65384615384615385</v>
      </c>
      <c r="F73" s="211"/>
      <c r="G73" s="212">
        <v>4.5657894736842106</v>
      </c>
      <c r="H73" s="212">
        <v>0.61420736931493669</v>
      </c>
      <c r="I73" s="202">
        <v>931.42105263157896</v>
      </c>
      <c r="J73" s="202">
        <v>4254.8951347599768</v>
      </c>
      <c r="K73" s="204">
        <v>5.2406603013583871E-4</v>
      </c>
      <c r="L73" s="202">
        <v>2</v>
      </c>
      <c r="M73" s="202">
        <v>2</v>
      </c>
      <c r="N73" s="210">
        <v>1</v>
      </c>
      <c r="O73" s="211"/>
      <c r="P73" s="212">
        <v>4.25</v>
      </c>
      <c r="Q73" s="212">
        <v>0.72168783648703139</v>
      </c>
      <c r="R73" s="202">
        <v>102</v>
      </c>
      <c r="S73" s="202">
        <v>102</v>
      </c>
      <c r="T73" s="204">
        <v>2.0301876731288932E-4</v>
      </c>
      <c r="U73" s="202">
        <v>28</v>
      </c>
      <c r="V73" s="202">
        <v>19</v>
      </c>
      <c r="W73" s="210">
        <v>0.6785714285714286</v>
      </c>
      <c r="X73" s="211"/>
      <c r="Y73" s="212">
        <v>4.5357142857142856</v>
      </c>
      <c r="Z73" s="212">
        <v>0.63207447392658622</v>
      </c>
      <c r="AA73" s="202">
        <v>1710.612244897959</v>
      </c>
      <c r="AB73" s="202">
        <v>4356.8951347599768</v>
      </c>
      <c r="AC73" s="204">
        <v>5.0535688115312864E-4</v>
      </c>
    </row>
    <row r="74" spans="1:29" ht="14.45" customHeight="1" x14ac:dyDescent="0.25">
      <c r="A74" s="205" t="s">
        <v>318</v>
      </c>
      <c r="B74" s="119" t="e">
        <f>VLOOKUP(A74,#REF!,2,FALSE)</f>
        <v>#REF!</v>
      </c>
      <c r="C74" s="202">
        <v>2055</v>
      </c>
      <c r="D74" s="202">
        <v>783</v>
      </c>
      <c r="E74" s="210">
        <v>0.381021897810219</v>
      </c>
      <c r="F74" s="211"/>
      <c r="G74" s="212">
        <v>4.2329714772243507</v>
      </c>
      <c r="H74" s="212">
        <v>0.98157924359013837</v>
      </c>
      <c r="I74" s="202">
        <v>39773</v>
      </c>
      <c r="J74" s="202">
        <v>248098.41656308653</v>
      </c>
      <c r="K74" s="204">
        <v>3.0557733653414455E-2</v>
      </c>
      <c r="L74" s="202">
        <v>665</v>
      </c>
      <c r="M74" s="202">
        <v>115</v>
      </c>
      <c r="N74" s="210">
        <v>0.17293233082706766</v>
      </c>
      <c r="O74" s="211"/>
      <c r="P74" s="212">
        <v>3.9963768115942031</v>
      </c>
      <c r="Q74" s="212">
        <v>1.1674889081985502</v>
      </c>
      <c r="R74" s="202">
        <v>5515</v>
      </c>
      <c r="S74" s="202">
        <v>13503.871428571427</v>
      </c>
      <c r="T74" s="204">
        <v>2.6877836582159968E-2</v>
      </c>
      <c r="U74" s="202">
        <v>2720</v>
      </c>
      <c r="V74" s="202">
        <v>898</v>
      </c>
      <c r="W74" s="210">
        <v>0.3301470588235294</v>
      </c>
      <c r="X74" s="211"/>
      <c r="Y74" s="212">
        <v>4.2026726057906458</v>
      </c>
      <c r="Z74" s="212">
        <v>1.010402603616531</v>
      </c>
      <c r="AA74" s="202">
        <v>79821.017783380594</v>
      </c>
      <c r="AB74" s="202">
        <v>261602.28799165797</v>
      </c>
      <c r="AC74" s="204">
        <v>3.0343286279087806E-2</v>
      </c>
    </row>
    <row r="75" spans="1:29" ht="14.45" customHeight="1" x14ac:dyDescent="0.25">
      <c r="A75" s="205" t="s">
        <v>345</v>
      </c>
      <c r="B75" s="119" t="e">
        <f>VLOOKUP(A75,#REF!,2,FALSE)</f>
        <v>#REF!</v>
      </c>
      <c r="C75" s="202">
        <v>49</v>
      </c>
      <c r="D75" s="202">
        <v>29</v>
      </c>
      <c r="E75" s="210">
        <v>0.59183673469387754</v>
      </c>
      <c r="F75" s="211"/>
      <c r="G75" s="212">
        <v>4.1465517241379306</v>
      </c>
      <c r="H75" s="212">
        <v>1.0634008852389185</v>
      </c>
      <c r="I75" s="202">
        <v>1443</v>
      </c>
      <c r="J75" s="202">
        <v>7139.4928163265304</v>
      </c>
      <c r="K75" s="204">
        <v>8.7935555141399483E-4</v>
      </c>
      <c r="L75" s="202">
        <v>11</v>
      </c>
      <c r="M75" s="202">
        <v>4</v>
      </c>
      <c r="N75" s="210">
        <v>0.36363636363636365</v>
      </c>
      <c r="O75" s="211"/>
      <c r="P75" s="212">
        <v>4.333333333333333</v>
      </c>
      <c r="Q75" s="212">
        <v>0.96465307523251964</v>
      </c>
      <c r="R75" s="202">
        <v>208</v>
      </c>
      <c r="S75" s="202">
        <v>439.86867532467528</v>
      </c>
      <c r="T75" s="204">
        <v>8.7550584552910891E-4</v>
      </c>
      <c r="U75" s="202">
        <v>60</v>
      </c>
      <c r="V75" s="202">
        <v>33</v>
      </c>
      <c r="W75" s="210">
        <v>0.55000000000000004</v>
      </c>
      <c r="X75" s="211"/>
      <c r="Y75" s="212">
        <v>4.1691919191919196</v>
      </c>
      <c r="Z75" s="212">
        <v>1.0536901742775435</v>
      </c>
      <c r="AA75" s="202">
        <v>2636.1099490480019</v>
      </c>
      <c r="AB75" s="202">
        <v>7579.3614916512061</v>
      </c>
      <c r="AC75" s="204">
        <v>8.791312083677199E-4</v>
      </c>
    </row>
    <row r="76" spans="1:29" ht="14.45" customHeight="1" x14ac:dyDescent="0.25">
      <c r="A76" s="205" t="s">
        <v>221</v>
      </c>
      <c r="B76" s="119" t="e">
        <f>VLOOKUP(A76,#REF!,2,FALSE)</f>
        <v>#REF!</v>
      </c>
      <c r="C76" s="202">
        <v>570</v>
      </c>
      <c r="D76" s="202">
        <v>208</v>
      </c>
      <c r="E76" s="210">
        <v>0.36491228070175441</v>
      </c>
      <c r="F76" s="211"/>
      <c r="G76" s="212">
        <v>4.1903044871794872</v>
      </c>
      <c r="H76" s="212">
        <v>0.95294023925703264</v>
      </c>
      <c r="I76" s="202">
        <v>10459</v>
      </c>
      <c r="J76" s="202">
        <v>66272.942345864663</v>
      </c>
      <c r="K76" s="204">
        <v>8.1626918409536432E-3</v>
      </c>
      <c r="L76" s="202">
        <v>107</v>
      </c>
      <c r="M76" s="202">
        <v>22</v>
      </c>
      <c r="N76" s="210">
        <v>0.20560747663551401</v>
      </c>
      <c r="O76" s="211"/>
      <c r="P76" s="212">
        <v>3.7651515151515151</v>
      </c>
      <c r="Q76" s="212">
        <v>1.2931043718266124</v>
      </c>
      <c r="R76" s="202">
        <v>994</v>
      </c>
      <c r="S76" s="202">
        <v>2422.5093831775698</v>
      </c>
      <c r="T76" s="204">
        <v>4.8217143997707655E-3</v>
      </c>
      <c r="U76" s="202">
        <v>677</v>
      </c>
      <c r="V76" s="202">
        <v>230</v>
      </c>
      <c r="W76" s="210">
        <v>0.33973412112259971</v>
      </c>
      <c r="X76" s="211"/>
      <c r="Y76" s="212">
        <v>4.1496376811594207</v>
      </c>
      <c r="Z76" s="212">
        <v>0.99840445858777649</v>
      </c>
      <c r="AA76" s="202">
        <v>17212.78400485621</v>
      </c>
      <c r="AB76" s="202">
        <v>68695.451729042237</v>
      </c>
      <c r="AC76" s="204">
        <v>7.9679951344770166E-3</v>
      </c>
    </row>
    <row r="77" spans="1:29" ht="14.45" customHeight="1" x14ac:dyDescent="0.25">
      <c r="A77" s="205" t="s">
        <v>285</v>
      </c>
      <c r="B77" s="119" t="e">
        <f>VLOOKUP(A77,#REF!,2,FALSE)</f>
        <v>#REF!</v>
      </c>
      <c r="C77" s="202">
        <v>18</v>
      </c>
      <c r="D77" s="202">
        <v>12</v>
      </c>
      <c r="E77" s="210">
        <v>0.66666666666666663</v>
      </c>
      <c r="F77" s="211"/>
      <c r="G77" s="212">
        <v>4.104166666666667</v>
      </c>
      <c r="H77" s="212">
        <v>0.98403047321829495</v>
      </c>
      <c r="I77" s="202">
        <v>591</v>
      </c>
      <c r="J77" s="202">
        <v>2653.421142857143</v>
      </c>
      <c r="K77" s="204">
        <v>3.2681601792145849E-4</v>
      </c>
      <c r="L77" s="211"/>
      <c r="M77" s="211"/>
      <c r="N77" s="211"/>
      <c r="O77" s="211"/>
      <c r="P77" s="211"/>
      <c r="Q77" s="211"/>
      <c r="R77" s="211"/>
      <c r="S77" s="211"/>
      <c r="T77" s="211"/>
      <c r="U77" s="202">
        <v>18</v>
      </c>
      <c r="V77" s="202">
        <v>12</v>
      </c>
      <c r="W77" s="210">
        <v>0.66666666666666663</v>
      </c>
      <c r="X77" s="211"/>
      <c r="Y77" s="212">
        <v>4.104166666666667</v>
      </c>
      <c r="Z77" s="212">
        <v>0.98403047321829495</v>
      </c>
      <c r="AA77" s="202">
        <v>591</v>
      </c>
      <c r="AB77" s="202">
        <v>2653.421142857143</v>
      </c>
      <c r="AC77" s="204">
        <v>3.0777069258379751E-4</v>
      </c>
    </row>
    <row r="78" spans="1:29" ht="14.45" customHeight="1" x14ac:dyDescent="0.25">
      <c r="A78" s="205" t="s">
        <v>347</v>
      </c>
      <c r="B78" s="119" t="e">
        <f>VLOOKUP(A78,#REF!,2,FALSE)</f>
        <v>#REF!</v>
      </c>
      <c r="C78" s="202">
        <v>1030</v>
      </c>
      <c r="D78" s="202">
        <v>695</v>
      </c>
      <c r="E78" s="210">
        <v>0.67475728155339809</v>
      </c>
      <c r="F78" s="211"/>
      <c r="G78" s="212">
        <v>4.3280575539568344</v>
      </c>
      <c r="H78" s="212">
        <v>0.88013205709969788</v>
      </c>
      <c r="I78" s="202">
        <v>36096</v>
      </c>
      <c r="J78" s="202">
        <v>160273.44918723992</v>
      </c>
      <c r="K78" s="204">
        <v>1.9740526520983948E-2</v>
      </c>
      <c r="L78" s="202">
        <v>167</v>
      </c>
      <c r="M78" s="202">
        <v>64</v>
      </c>
      <c r="N78" s="210">
        <v>0.38323353293413176</v>
      </c>
      <c r="O78" s="211"/>
      <c r="P78" s="212">
        <v>4.361979166666667</v>
      </c>
      <c r="Q78" s="212">
        <v>0.91669256000360766</v>
      </c>
      <c r="R78" s="202">
        <v>3350</v>
      </c>
      <c r="S78" s="202">
        <v>6950.4963216424285</v>
      </c>
      <c r="T78" s="204">
        <v>1.3834129366986445E-2</v>
      </c>
      <c r="U78" s="202">
        <v>1197</v>
      </c>
      <c r="V78" s="202">
        <v>759</v>
      </c>
      <c r="W78" s="210">
        <v>0.63408521303258147</v>
      </c>
      <c r="X78" s="211"/>
      <c r="Y78" s="212">
        <v>4.3309178743961354</v>
      </c>
      <c r="Z78" s="212">
        <v>0.88332360887642247</v>
      </c>
      <c r="AA78" s="202">
        <v>65599.004668658032</v>
      </c>
      <c r="AB78" s="202">
        <v>167223.94550888235</v>
      </c>
      <c r="AC78" s="204">
        <v>1.9396329023912823E-2</v>
      </c>
    </row>
    <row r="79" spans="1:29" ht="14.45" customHeight="1" x14ac:dyDescent="0.25">
      <c r="A79" s="205" t="s">
        <v>336</v>
      </c>
      <c r="B79" s="119" t="e">
        <f>VLOOKUP(A79,#REF!,2,FALSE)</f>
        <v>#REF!</v>
      </c>
      <c r="C79" s="202">
        <v>658</v>
      </c>
      <c r="D79" s="202">
        <v>248</v>
      </c>
      <c r="E79" s="210">
        <v>0.37689969604863222</v>
      </c>
      <c r="F79" s="211"/>
      <c r="G79" s="212">
        <v>4.2743333333333338</v>
      </c>
      <c r="H79" s="212">
        <v>0.93509779643034252</v>
      </c>
      <c r="I79" s="202">
        <v>12720.415999999999</v>
      </c>
      <c r="J79" s="202">
        <v>79669.08666047416</v>
      </c>
      <c r="K79" s="204">
        <v>9.8126653297785828E-3</v>
      </c>
      <c r="L79" s="202">
        <v>120</v>
      </c>
      <c r="M79" s="202">
        <v>28</v>
      </c>
      <c r="N79" s="210">
        <v>0.23333333333333334</v>
      </c>
      <c r="O79" s="211"/>
      <c r="P79" s="212">
        <v>4.2857142857142856</v>
      </c>
      <c r="Q79" s="212">
        <v>1.0558389642210355</v>
      </c>
      <c r="R79" s="202">
        <v>1440</v>
      </c>
      <c r="S79" s="202">
        <v>3428.0228571428574</v>
      </c>
      <c r="T79" s="204">
        <v>6.8230683801720768E-3</v>
      </c>
      <c r="U79" s="202">
        <v>778</v>
      </c>
      <c r="V79" s="202">
        <v>276</v>
      </c>
      <c r="W79" s="210">
        <v>0.35475578406169667</v>
      </c>
      <c r="X79" s="211"/>
      <c r="Y79" s="212">
        <v>4.2754796163069546</v>
      </c>
      <c r="Z79" s="212">
        <v>0.94796168946451453</v>
      </c>
      <c r="AA79" s="202">
        <v>20846.169739208635</v>
      </c>
      <c r="AB79" s="202">
        <v>83097.10951761702</v>
      </c>
      <c r="AC79" s="204">
        <v>9.6384454525037227E-3</v>
      </c>
    </row>
    <row r="80" spans="1:29" ht="14.45" customHeight="1" x14ac:dyDescent="0.25">
      <c r="A80" s="205" t="s">
        <v>280</v>
      </c>
      <c r="B80" s="119" t="e">
        <f>VLOOKUP(A80,#REF!,2,FALSE)</f>
        <v>#REF!</v>
      </c>
      <c r="C80" s="202">
        <v>63</v>
      </c>
      <c r="D80" s="202">
        <v>56</v>
      </c>
      <c r="E80" s="210">
        <v>0.88888888888888884</v>
      </c>
      <c r="F80" s="211"/>
      <c r="G80" s="212">
        <v>4.393589743589744</v>
      </c>
      <c r="H80" s="212">
        <v>0.80237463971570411</v>
      </c>
      <c r="I80" s="202">
        <v>2952.4923076923078</v>
      </c>
      <c r="J80" s="202">
        <v>9964.6615384615397</v>
      </c>
      <c r="K80" s="204">
        <v>1.2273253391010786E-3</v>
      </c>
      <c r="L80" s="211"/>
      <c r="M80" s="211"/>
      <c r="N80" s="211"/>
      <c r="O80" s="211"/>
      <c r="P80" s="211"/>
      <c r="Q80" s="211"/>
      <c r="R80" s="211"/>
      <c r="S80" s="211"/>
      <c r="T80" s="211"/>
      <c r="U80" s="202">
        <v>63</v>
      </c>
      <c r="V80" s="202">
        <v>56</v>
      </c>
      <c r="W80" s="210">
        <v>0.88888888888888884</v>
      </c>
      <c r="X80" s="211"/>
      <c r="Y80" s="212">
        <v>4.393589743589744</v>
      </c>
      <c r="Z80" s="212">
        <v>0.80237463971570411</v>
      </c>
      <c r="AA80" s="202">
        <v>2952.4923076923078</v>
      </c>
      <c r="AB80" s="202">
        <v>9964.6615384615397</v>
      </c>
      <c r="AC80" s="204">
        <v>1.1558024972067361E-3</v>
      </c>
    </row>
    <row r="81" spans="1:29" ht="14.45" customHeight="1" x14ac:dyDescent="0.25">
      <c r="A81" s="205" t="s">
        <v>307</v>
      </c>
      <c r="B81" s="119" t="e">
        <f>VLOOKUP(A81,#REF!,2,FALSE)</f>
        <v>#REF!</v>
      </c>
      <c r="C81" s="202">
        <v>27</v>
      </c>
      <c r="D81" s="202">
        <v>9</v>
      </c>
      <c r="E81" s="210">
        <v>0.33333333333333331</v>
      </c>
      <c r="F81" s="211"/>
      <c r="G81" s="212">
        <v>4.6166666666666663</v>
      </c>
      <c r="H81" s="212">
        <v>0.69741586509692555</v>
      </c>
      <c r="I81" s="202">
        <v>498.6</v>
      </c>
      <c r="J81" s="202">
        <v>3255.7155428571427</v>
      </c>
      <c r="K81" s="204">
        <v>4.0099928805717536E-4</v>
      </c>
      <c r="L81" s="202">
        <v>1</v>
      </c>
      <c r="M81" s="202">
        <v>1</v>
      </c>
      <c r="N81" s="210">
        <v>1</v>
      </c>
      <c r="O81" s="211"/>
      <c r="P81" s="212">
        <v>4.5</v>
      </c>
      <c r="Q81" s="212">
        <v>0.64549722436790369</v>
      </c>
      <c r="R81" s="202">
        <v>54</v>
      </c>
      <c r="S81" s="202">
        <v>54</v>
      </c>
      <c r="T81" s="204">
        <v>1.0748052387152965E-4</v>
      </c>
      <c r="U81" s="202">
        <v>28</v>
      </c>
      <c r="V81" s="202">
        <v>10</v>
      </c>
      <c r="W81" s="210">
        <v>0.35714285714285715</v>
      </c>
      <c r="X81" s="211"/>
      <c r="Y81" s="212">
        <v>4.6060606060606064</v>
      </c>
      <c r="Z81" s="212">
        <v>0.69366806922785074</v>
      </c>
      <c r="AA81" s="202">
        <v>967.27272727272725</v>
      </c>
      <c r="AB81" s="202">
        <v>3309.7155428571427</v>
      </c>
      <c r="AC81" s="204">
        <v>3.8389437259991871E-4</v>
      </c>
    </row>
    <row r="82" spans="1:29" ht="14.45" customHeight="1" x14ac:dyDescent="0.25">
      <c r="A82" s="205" t="s">
        <v>263</v>
      </c>
      <c r="B82" s="119" t="e">
        <f>VLOOKUP(A82,#REF!,2,FALSE)</f>
        <v>#REF!</v>
      </c>
      <c r="C82" s="202">
        <v>17</v>
      </c>
      <c r="D82" s="202">
        <v>17</v>
      </c>
      <c r="E82" s="210">
        <v>1</v>
      </c>
      <c r="F82" s="211"/>
      <c r="G82" s="212">
        <v>4.5686274509803919</v>
      </c>
      <c r="H82" s="212">
        <v>0.64943118281094958</v>
      </c>
      <c r="I82" s="202">
        <v>932</v>
      </c>
      <c r="J82" s="202">
        <v>2796</v>
      </c>
      <c r="K82" s="204">
        <v>3.4437714064660812E-4</v>
      </c>
      <c r="L82" s="211"/>
      <c r="M82" s="211"/>
      <c r="N82" s="211"/>
      <c r="O82" s="211"/>
      <c r="P82" s="211"/>
      <c r="Q82" s="211"/>
      <c r="R82" s="211"/>
      <c r="S82" s="211"/>
      <c r="T82" s="211"/>
      <c r="U82" s="202">
        <v>17</v>
      </c>
      <c r="V82" s="202">
        <v>17</v>
      </c>
      <c r="W82" s="210">
        <v>1</v>
      </c>
      <c r="X82" s="211"/>
      <c r="Y82" s="212">
        <v>4.5686274509803919</v>
      </c>
      <c r="Z82" s="212">
        <v>0.64943118281094958</v>
      </c>
      <c r="AA82" s="202">
        <v>932</v>
      </c>
      <c r="AB82" s="202">
        <v>2796</v>
      </c>
      <c r="AC82" s="204">
        <v>3.243084343323285E-4</v>
      </c>
    </row>
    <row r="83" spans="1:29" ht="14.45" customHeight="1" x14ac:dyDescent="0.25">
      <c r="A83" s="205" t="s">
        <v>352</v>
      </c>
      <c r="B83" s="119" t="e">
        <f>VLOOKUP(A83,#REF!,2,FALSE)</f>
        <v>#REF!</v>
      </c>
      <c r="C83" s="202">
        <v>33</v>
      </c>
      <c r="D83" s="202">
        <v>5</v>
      </c>
      <c r="E83" s="210">
        <v>0.15151515151515152</v>
      </c>
      <c r="F83" s="211"/>
      <c r="G83" s="212">
        <v>4.3666666666666663</v>
      </c>
      <c r="H83" s="212">
        <v>0.6574360974438701</v>
      </c>
      <c r="I83" s="202">
        <v>262</v>
      </c>
      <c r="J83" s="202">
        <v>1924.5771428571427</v>
      </c>
      <c r="K83" s="204">
        <v>2.3704591323711065E-4</v>
      </c>
      <c r="L83" s="202">
        <v>1</v>
      </c>
      <c r="M83" s="202">
        <v>0</v>
      </c>
      <c r="N83" s="210">
        <v>0</v>
      </c>
      <c r="O83" s="211"/>
      <c r="P83" s="212"/>
      <c r="Q83" s="212"/>
      <c r="R83" s="202"/>
      <c r="S83" s="202"/>
      <c r="T83" s="204"/>
      <c r="U83" s="202">
        <v>34</v>
      </c>
      <c r="V83" s="202">
        <v>5</v>
      </c>
      <c r="W83" s="210">
        <v>0.14705882352941177</v>
      </c>
      <c r="X83" s="211"/>
      <c r="Y83" s="212">
        <v>4.3666666666666663</v>
      </c>
      <c r="Z83" s="212">
        <v>0.6574360974438701</v>
      </c>
      <c r="AA83" s="202">
        <v>524</v>
      </c>
      <c r="AB83" s="202">
        <v>1924.5771428571427</v>
      </c>
      <c r="AC83" s="204">
        <v>2.2323197423168315E-4</v>
      </c>
    </row>
    <row r="84" spans="1:29" ht="14.45" customHeight="1" x14ac:dyDescent="0.25">
      <c r="A84" s="205" t="s">
        <v>243</v>
      </c>
      <c r="B84" s="119" t="e">
        <f>VLOOKUP(A84,#REF!,2,FALSE)</f>
        <v>#REF!</v>
      </c>
      <c r="C84" s="202">
        <v>66</v>
      </c>
      <c r="D84" s="202">
        <v>41</v>
      </c>
      <c r="E84" s="210">
        <v>0.62121212121212122</v>
      </c>
      <c r="F84" s="211"/>
      <c r="G84" s="212">
        <v>4.1300813008130079</v>
      </c>
      <c r="H84" s="212">
        <v>1.0854495872210319</v>
      </c>
      <c r="I84" s="202">
        <v>2032</v>
      </c>
      <c r="J84" s="202">
        <v>9688.364883116883</v>
      </c>
      <c r="K84" s="204">
        <v>1.1932944906969962E-3</v>
      </c>
      <c r="L84" s="211"/>
      <c r="M84" s="211"/>
      <c r="N84" s="211"/>
      <c r="O84" s="211"/>
      <c r="P84" s="211"/>
      <c r="Q84" s="211"/>
      <c r="R84" s="211"/>
      <c r="S84" s="211"/>
      <c r="T84" s="211"/>
      <c r="U84" s="202">
        <v>66</v>
      </c>
      <c r="V84" s="202">
        <v>41</v>
      </c>
      <c r="W84" s="210">
        <v>0.62121212121212122</v>
      </c>
      <c r="X84" s="211"/>
      <c r="Y84" s="212">
        <v>4.1300813008130079</v>
      </c>
      <c r="Z84" s="212">
        <v>1.0854495872210319</v>
      </c>
      <c r="AA84" s="202">
        <v>2032</v>
      </c>
      <c r="AB84" s="202">
        <v>9688.364883116883</v>
      </c>
      <c r="AC84" s="204">
        <v>1.1237548091859618E-3</v>
      </c>
    </row>
    <row r="85" spans="1:29" ht="14.45" customHeight="1" x14ac:dyDescent="0.25">
      <c r="A85" s="205" t="s">
        <v>286</v>
      </c>
      <c r="B85" s="119" t="e">
        <f>VLOOKUP(A85,#REF!,2,FALSE)</f>
        <v>#REF!</v>
      </c>
      <c r="C85" s="202">
        <v>71</v>
      </c>
      <c r="D85" s="202">
        <v>17</v>
      </c>
      <c r="E85" s="210">
        <v>0.23943661971830985</v>
      </c>
      <c r="F85" s="211"/>
      <c r="G85" s="212">
        <v>4.3774509803921573</v>
      </c>
      <c r="H85" s="212">
        <v>0.92337901027513136</v>
      </c>
      <c r="I85" s="202">
        <v>893</v>
      </c>
      <c r="J85" s="202">
        <v>6344.1954205231386</v>
      </c>
      <c r="K85" s="204">
        <v>7.8140052883514442E-4</v>
      </c>
      <c r="L85" s="202">
        <v>7</v>
      </c>
      <c r="M85" s="202">
        <v>5</v>
      </c>
      <c r="N85" s="210">
        <v>0.7142857142857143</v>
      </c>
      <c r="O85" s="211"/>
      <c r="P85" s="212">
        <v>3.6770833333333335</v>
      </c>
      <c r="Q85" s="212">
        <v>1.3730652423400067</v>
      </c>
      <c r="R85" s="202">
        <v>220.625</v>
      </c>
      <c r="S85" s="202">
        <v>308.875</v>
      </c>
      <c r="T85" s="204">
        <v>6.1477864464479107E-4</v>
      </c>
      <c r="U85" s="202">
        <v>78</v>
      </c>
      <c r="V85" s="202">
        <v>22</v>
      </c>
      <c r="W85" s="210">
        <v>0.28205128205128205</v>
      </c>
      <c r="X85" s="211"/>
      <c r="Y85" s="212">
        <v>4.1533333333333333</v>
      </c>
      <c r="Z85" s="212">
        <v>1.1357034041607079</v>
      </c>
      <c r="AA85" s="202">
        <v>1752.1784971098266</v>
      </c>
      <c r="AB85" s="202">
        <v>6653.0704205231386</v>
      </c>
      <c r="AC85" s="204">
        <v>7.7169057638862141E-4</v>
      </c>
    </row>
    <row r="86" spans="1:29" ht="14.45" customHeight="1" x14ac:dyDescent="0.25">
      <c r="A86" s="205" t="s">
        <v>294</v>
      </c>
      <c r="B86" s="119" t="e">
        <f>VLOOKUP(A86,#REF!,2,FALSE)</f>
        <v>#REF!</v>
      </c>
      <c r="C86" s="202">
        <v>10</v>
      </c>
      <c r="D86" s="202">
        <v>8</v>
      </c>
      <c r="E86" s="210">
        <v>0.8</v>
      </c>
      <c r="F86" s="211"/>
      <c r="G86" s="212">
        <v>4.697916666666667</v>
      </c>
      <c r="H86" s="212">
        <v>0.54236733528936432</v>
      </c>
      <c r="I86" s="202">
        <v>451</v>
      </c>
      <c r="J86" s="202">
        <v>1691.25</v>
      </c>
      <c r="K86" s="204">
        <v>2.0830752472052072E-4</v>
      </c>
      <c r="L86" s="211"/>
      <c r="M86" s="211"/>
      <c r="N86" s="211"/>
      <c r="O86" s="211"/>
      <c r="P86" s="211"/>
      <c r="Q86" s="211"/>
      <c r="R86" s="211"/>
      <c r="S86" s="211"/>
      <c r="T86" s="211"/>
      <c r="U86" s="202">
        <v>10</v>
      </c>
      <c r="V86" s="202">
        <v>8</v>
      </c>
      <c r="W86" s="210">
        <v>0.8</v>
      </c>
      <c r="X86" s="211"/>
      <c r="Y86" s="212">
        <v>4.697916666666667</v>
      </c>
      <c r="Z86" s="212">
        <v>0.54236733528936432</v>
      </c>
      <c r="AA86" s="202">
        <v>451</v>
      </c>
      <c r="AB86" s="202">
        <v>1691.25</v>
      </c>
      <c r="AC86" s="204">
        <v>1.961683260245174E-4</v>
      </c>
    </row>
    <row r="87" spans="1:29" ht="14.45" customHeight="1" x14ac:dyDescent="0.25">
      <c r="A87" s="205" t="s">
        <v>378</v>
      </c>
      <c r="B87" s="119" t="e">
        <f>VLOOKUP(A87,#REF!,2,FALSE)</f>
        <v>#REF!</v>
      </c>
      <c r="C87" s="202">
        <v>1917</v>
      </c>
      <c r="D87" s="202">
        <v>322</v>
      </c>
      <c r="E87" s="210">
        <v>0.16797078768909754</v>
      </c>
      <c r="F87" s="211"/>
      <c r="G87" s="212">
        <v>4.0241769547325106</v>
      </c>
      <c r="H87" s="212">
        <v>1.1237392760140446</v>
      </c>
      <c r="I87" s="202">
        <v>15549.419753086418</v>
      </c>
      <c r="J87" s="202">
        <v>114221.59481481482</v>
      </c>
      <c r="K87" s="204">
        <v>1.4068421395715795E-2</v>
      </c>
      <c r="L87" s="202">
        <v>157</v>
      </c>
      <c r="M87" s="202">
        <v>15</v>
      </c>
      <c r="N87" s="210">
        <v>9.5541401273885357E-2</v>
      </c>
      <c r="O87" s="211"/>
      <c r="P87" s="212">
        <v>3.78125</v>
      </c>
      <c r="Q87" s="212">
        <v>1.3594049326206419</v>
      </c>
      <c r="R87" s="202">
        <v>680.625</v>
      </c>
      <c r="S87" s="202">
        <v>1666.5589285714284</v>
      </c>
      <c r="T87" s="204">
        <v>3.317085679733931E-3</v>
      </c>
      <c r="U87" s="202">
        <v>2074</v>
      </c>
      <c r="V87" s="202">
        <v>337</v>
      </c>
      <c r="W87" s="210">
        <v>0.16248794599807137</v>
      </c>
      <c r="X87" s="211"/>
      <c r="Y87" s="212">
        <v>4.0127450980392156</v>
      </c>
      <c r="Z87" s="212">
        <v>1.137090505359152</v>
      </c>
      <c r="AA87" s="202">
        <v>26091.876411279456</v>
      </c>
      <c r="AB87" s="202">
        <v>115888.15374338624</v>
      </c>
      <c r="AC87" s="204">
        <v>1.3441883296917657E-2</v>
      </c>
    </row>
    <row r="88" spans="1:29" ht="14.45" customHeight="1" x14ac:dyDescent="0.25">
      <c r="A88" s="205" t="s">
        <v>342</v>
      </c>
      <c r="B88" s="119" t="e">
        <f>VLOOKUP(A88,#REF!,2,FALSE)</f>
        <v>#REF!</v>
      </c>
      <c r="C88" s="202">
        <v>343</v>
      </c>
      <c r="D88" s="202">
        <v>310</v>
      </c>
      <c r="E88" s="210">
        <v>0.90379008746355682</v>
      </c>
      <c r="F88" s="211"/>
      <c r="G88" s="212">
        <v>4.4774193548387098</v>
      </c>
      <c r="H88" s="212">
        <v>0.77252957381649023</v>
      </c>
      <c r="I88" s="202">
        <v>16656</v>
      </c>
      <c r="J88" s="202">
        <v>55287.174193548388</v>
      </c>
      <c r="K88" s="204">
        <v>6.80959905694032E-3</v>
      </c>
      <c r="L88" s="202">
        <v>18</v>
      </c>
      <c r="M88" s="202">
        <v>9</v>
      </c>
      <c r="N88" s="210">
        <v>0.5</v>
      </c>
      <c r="O88" s="211"/>
      <c r="P88" s="212">
        <v>4.4907407407407405</v>
      </c>
      <c r="Q88" s="212">
        <v>0.90773803500351635</v>
      </c>
      <c r="R88" s="202">
        <v>485</v>
      </c>
      <c r="S88" s="202">
        <v>890.73714285714289</v>
      </c>
      <c r="T88" s="204">
        <v>1.7729054582613936E-3</v>
      </c>
      <c r="U88" s="202">
        <v>361</v>
      </c>
      <c r="V88" s="202">
        <v>319</v>
      </c>
      <c r="W88" s="210">
        <v>0.88365650969529086</v>
      </c>
      <c r="X88" s="211"/>
      <c r="Y88" s="212">
        <v>4.4777951933124349</v>
      </c>
      <c r="Z88" s="212">
        <v>0.77667010721534047</v>
      </c>
      <c r="AA88" s="202">
        <v>32424.291435969128</v>
      </c>
      <c r="AB88" s="202">
        <v>56177.91133640553</v>
      </c>
      <c r="AC88" s="204">
        <v>6.5160838589306321E-3</v>
      </c>
    </row>
    <row r="89" spans="1:29" ht="14.45" customHeight="1" x14ac:dyDescent="0.25">
      <c r="A89" s="205" t="s">
        <v>331</v>
      </c>
      <c r="B89" s="119" t="e">
        <f>VLOOKUP(A89,#REF!,2,FALSE)</f>
        <v>#REF!</v>
      </c>
      <c r="C89" s="202">
        <v>57</v>
      </c>
      <c r="D89" s="202">
        <v>44</v>
      </c>
      <c r="E89" s="210">
        <v>0.77192982456140347</v>
      </c>
      <c r="F89" s="211"/>
      <c r="G89" s="212">
        <v>4.5151515151515156</v>
      </c>
      <c r="H89" s="212">
        <v>0.74095401735265187</v>
      </c>
      <c r="I89" s="202">
        <v>2384</v>
      </c>
      <c r="J89" s="202">
        <v>9265.0909090909081</v>
      </c>
      <c r="K89" s="204">
        <v>1.1411607707809764E-3</v>
      </c>
      <c r="L89" s="202">
        <v>1</v>
      </c>
      <c r="M89" s="202">
        <v>1</v>
      </c>
      <c r="N89" s="210">
        <v>1</v>
      </c>
      <c r="O89" s="211"/>
      <c r="P89" s="212">
        <v>4.083333333333333</v>
      </c>
      <c r="Q89" s="212">
        <v>1.4976833963009542</v>
      </c>
      <c r="R89" s="202">
        <v>49</v>
      </c>
      <c r="S89" s="202">
        <v>49</v>
      </c>
      <c r="T89" s="204">
        <v>9.7528623513054669E-5</v>
      </c>
      <c r="U89" s="202">
        <v>58</v>
      </c>
      <c r="V89" s="202">
        <v>45</v>
      </c>
      <c r="W89" s="210">
        <v>0.77586206896551724</v>
      </c>
      <c r="X89" s="211"/>
      <c r="Y89" s="212">
        <v>4.5055555555555555</v>
      </c>
      <c r="Z89" s="212">
        <v>0.76857652614636118</v>
      </c>
      <c r="AA89" s="202">
        <v>4672.2887525562364</v>
      </c>
      <c r="AB89" s="202">
        <v>9314.0909090909081</v>
      </c>
      <c r="AC89" s="204">
        <v>1.0803427181531641E-3</v>
      </c>
    </row>
    <row r="90" spans="1:29" ht="14.45" customHeight="1" x14ac:dyDescent="0.25">
      <c r="A90" s="205" t="s">
        <v>313</v>
      </c>
      <c r="B90" s="119" t="e">
        <f>VLOOKUP(A90,#REF!,2,FALSE)</f>
        <v>#REF!</v>
      </c>
      <c r="C90" s="202">
        <v>351</v>
      </c>
      <c r="D90" s="202">
        <v>291</v>
      </c>
      <c r="E90" s="210">
        <v>0.82905982905982911</v>
      </c>
      <c r="F90" s="211"/>
      <c r="G90" s="212">
        <v>4.1976678043230944</v>
      </c>
      <c r="H90" s="212">
        <v>0.97167227336414363</v>
      </c>
      <c r="I90" s="202">
        <v>14658.255972696246</v>
      </c>
      <c r="J90" s="202">
        <v>53041.730375426618</v>
      </c>
      <c r="K90" s="204">
        <v>6.5330327044484113E-3</v>
      </c>
      <c r="L90" s="202">
        <v>213</v>
      </c>
      <c r="M90" s="202">
        <v>73</v>
      </c>
      <c r="N90" s="210">
        <v>0.34272300469483569</v>
      </c>
      <c r="O90" s="211"/>
      <c r="P90" s="212">
        <v>4.2043378995433791</v>
      </c>
      <c r="Q90" s="212">
        <v>1.0361191178929032</v>
      </c>
      <c r="R90" s="202">
        <v>3683</v>
      </c>
      <c r="S90" s="202">
        <v>7945.7649657947695</v>
      </c>
      <c r="T90" s="204">
        <v>1.581509224229016E-2</v>
      </c>
      <c r="U90" s="202">
        <v>564</v>
      </c>
      <c r="V90" s="202">
        <v>364</v>
      </c>
      <c r="W90" s="210">
        <v>0.64539007092198586</v>
      </c>
      <c r="X90" s="211"/>
      <c r="Y90" s="212">
        <v>4.1989981785063755</v>
      </c>
      <c r="Z90" s="212">
        <v>0.98486677600637784</v>
      </c>
      <c r="AA90" s="202">
        <v>25035.501069892405</v>
      </c>
      <c r="AB90" s="202">
        <v>60987.495341221387</v>
      </c>
      <c r="AC90" s="204">
        <v>7.0739481859662685E-3</v>
      </c>
    </row>
    <row r="91" spans="1:29" ht="14.45" customHeight="1" x14ac:dyDescent="0.25">
      <c r="A91" s="205" t="s">
        <v>260</v>
      </c>
      <c r="B91" s="119" t="e">
        <f>VLOOKUP(A91,#REF!,2,FALSE)</f>
        <v>#REF!</v>
      </c>
      <c r="C91" s="202">
        <v>144</v>
      </c>
      <c r="D91" s="202">
        <v>124</v>
      </c>
      <c r="E91" s="210">
        <v>0.86111111111111116</v>
      </c>
      <c r="F91" s="211"/>
      <c r="G91" s="212">
        <v>4.422043010752688</v>
      </c>
      <c r="H91" s="212">
        <v>0.86094978702853842</v>
      </c>
      <c r="I91" s="202">
        <v>6580</v>
      </c>
      <c r="J91" s="202">
        <v>22923.870967741936</v>
      </c>
      <c r="K91" s="204">
        <v>2.8234825237563521E-3</v>
      </c>
      <c r="L91" s="202">
        <v>21</v>
      </c>
      <c r="M91" s="202">
        <v>18</v>
      </c>
      <c r="N91" s="210">
        <v>0.8571428571428571</v>
      </c>
      <c r="O91" s="211"/>
      <c r="P91" s="212">
        <v>4.0925925925925926</v>
      </c>
      <c r="Q91" s="212">
        <v>0.99570407842741193</v>
      </c>
      <c r="R91" s="202">
        <v>884</v>
      </c>
      <c r="S91" s="202">
        <v>1031.3333333333335</v>
      </c>
      <c r="T91" s="204">
        <v>2.052745313941437E-3</v>
      </c>
      <c r="U91" s="202">
        <v>165</v>
      </c>
      <c r="V91" s="202">
        <v>142</v>
      </c>
      <c r="W91" s="210">
        <v>0.8606060606060606</v>
      </c>
      <c r="X91" s="211"/>
      <c r="Y91" s="212">
        <v>4.380281690140845</v>
      </c>
      <c r="Z91" s="212">
        <v>0.88598154660938289</v>
      </c>
      <c r="AA91" s="202">
        <v>11340.519897910955</v>
      </c>
      <c r="AB91" s="202">
        <v>23955.204301075268</v>
      </c>
      <c r="AC91" s="204">
        <v>2.7785675253908376E-3</v>
      </c>
    </row>
    <row r="92" spans="1:29" ht="14.45" customHeight="1" x14ac:dyDescent="0.25">
      <c r="A92" s="205" t="s">
        <v>370</v>
      </c>
      <c r="B92" s="119" t="e">
        <f>VLOOKUP(A92,#REF!,2,FALSE)</f>
        <v>#REF!</v>
      </c>
      <c r="C92" s="202">
        <v>59</v>
      </c>
      <c r="D92" s="202">
        <v>40</v>
      </c>
      <c r="E92" s="210">
        <v>0.67796610169491522</v>
      </c>
      <c r="F92" s="211"/>
      <c r="G92" s="212">
        <v>4.4395833333333332</v>
      </c>
      <c r="H92" s="212">
        <v>0.81425824715231132</v>
      </c>
      <c r="I92" s="202">
        <v>2131</v>
      </c>
      <c r="J92" s="202">
        <v>9420.2170750605328</v>
      </c>
      <c r="K92" s="204">
        <v>1.1602673178038984E-3</v>
      </c>
      <c r="L92" s="211"/>
      <c r="M92" s="211"/>
      <c r="N92" s="211"/>
      <c r="O92" s="211"/>
      <c r="P92" s="211"/>
      <c r="Q92" s="211"/>
      <c r="R92" s="211"/>
      <c r="S92" s="211"/>
      <c r="T92" s="211"/>
      <c r="U92" s="202">
        <v>59</v>
      </c>
      <c r="V92" s="202">
        <v>40</v>
      </c>
      <c r="W92" s="210">
        <v>0.67796610169491522</v>
      </c>
      <c r="X92" s="211"/>
      <c r="Y92" s="212">
        <v>4.4395833333333332</v>
      </c>
      <c r="Z92" s="212">
        <v>0.81425824715231132</v>
      </c>
      <c r="AA92" s="202">
        <v>2131</v>
      </c>
      <c r="AB92" s="202">
        <v>9420.2170750605328</v>
      </c>
      <c r="AC92" s="204">
        <v>1.0926523071114265E-3</v>
      </c>
    </row>
    <row r="93" spans="1:29" ht="14.45" customHeight="1" x14ac:dyDescent="0.25">
      <c r="A93" s="205" t="s">
        <v>304</v>
      </c>
      <c r="B93" s="119" t="e">
        <f>VLOOKUP(A93,#REF!,2,FALSE)</f>
        <v>#REF!</v>
      </c>
      <c r="C93" s="202">
        <v>9</v>
      </c>
      <c r="D93" s="202">
        <v>9</v>
      </c>
      <c r="E93" s="210">
        <v>1</v>
      </c>
      <c r="F93" s="211"/>
      <c r="G93" s="212">
        <v>4.3148148148148149</v>
      </c>
      <c r="H93" s="212">
        <v>0.80101958347711699</v>
      </c>
      <c r="I93" s="202">
        <v>466</v>
      </c>
      <c r="J93" s="202">
        <v>1398</v>
      </c>
      <c r="K93" s="204">
        <v>1.7218857032330406E-4</v>
      </c>
      <c r="L93" s="211"/>
      <c r="M93" s="211"/>
      <c r="N93" s="211"/>
      <c r="O93" s="211"/>
      <c r="P93" s="211"/>
      <c r="Q93" s="211"/>
      <c r="R93" s="211"/>
      <c r="S93" s="211"/>
      <c r="T93" s="211"/>
      <c r="U93" s="202">
        <v>9</v>
      </c>
      <c r="V93" s="202">
        <v>9</v>
      </c>
      <c r="W93" s="210">
        <v>1</v>
      </c>
      <c r="X93" s="211"/>
      <c r="Y93" s="212">
        <v>4.3148148148148149</v>
      </c>
      <c r="Z93" s="212">
        <v>0.80101958347711699</v>
      </c>
      <c r="AA93" s="202">
        <v>466</v>
      </c>
      <c r="AB93" s="202">
        <v>1398</v>
      </c>
      <c r="AC93" s="204">
        <v>1.6215421716616425E-4</v>
      </c>
    </row>
    <row r="94" spans="1:29" ht="14.45" customHeight="1" x14ac:dyDescent="0.25">
      <c r="A94" s="205" t="s">
        <v>338</v>
      </c>
      <c r="B94" s="119" t="e">
        <f>VLOOKUP(A94,#REF!,2,FALSE)</f>
        <v>#REF!</v>
      </c>
      <c r="C94" s="202">
        <v>121</v>
      </c>
      <c r="D94" s="202">
        <v>34</v>
      </c>
      <c r="E94" s="210">
        <v>0.28099173553719009</v>
      </c>
      <c r="F94" s="211"/>
      <c r="G94" s="212">
        <v>4.4411764705882355</v>
      </c>
      <c r="H94" s="212">
        <v>0.82136737672672377</v>
      </c>
      <c r="I94" s="202">
        <v>1812</v>
      </c>
      <c r="J94" s="202">
        <v>12412.281293978749</v>
      </c>
      <c r="K94" s="204">
        <v>1.5287932549791783E-3</v>
      </c>
      <c r="L94" s="202">
        <v>13</v>
      </c>
      <c r="M94" s="202">
        <v>1</v>
      </c>
      <c r="N94" s="210">
        <v>7.6923076923076927E-2</v>
      </c>
      <c r="O94" s="211"/>
      <c r="P94" s="212">
        <v>4.166666666666667</v>
      </c>
      <c r="Q94" s="212">
        <v>1.4624940645653526</v>
      </c>
      <c r="R94" s="202">
        <v>50</v>
      </c>
      <c r="S94" s="202">
        <v>122.42857142857142</v>
      </c>
      <c r="T94" s="204">
        <v>2.4367938877751559E-4</v>
      </c>
      <c r="U94" s="202">
        <v>134</v>
      </c>
      <c r="V94" s="202">
        <v>35</v>
      </c>
      <c r="W94" s="210">
        <v>0.26119402985074625</v>
      </c>
      <c r="X94" s="211"/>
      <c r="Y94" s="212">
        <v>4.4358974358974361</v>
      </c>
      <c r="Z94" s="212">
        <v>0.83918066863387974</v>
      </c>
      <c r="AA94" s="202">
        <v>3377.8909996885704</v>
      </c>
      <c r="AB94" s="202">
        <v>12534.70986540732</v>
      </c>
      <c r="AC94" s="204">
        <v>1.4539027651145351E-3</v>
      </c>
    </row>
    <row r="95" spans="1:29" ht="14.45" customHeight="1" x14ac:dyDescent="0.25">
      <c r="A95" s="205" t="s">
        <v>299</v>
      </c>
      <c r="B95" s="119" t="e">
        <f>VLOOKUP(A95,#REF!,2,FALSE)</f>
        <v>#REF!</v>
      </c>
      <c r="C95" s="202">
        <v>369</v>
      </c>
      <c r="D95" s="202">
        <v>196</v>
      </c>
      <c r="E95" s="210">
        <v>0.53116531165311653</v>
      </c>
      <c r="F95" s="211"/>
      <c r="G95" s="212">
        <v>4.0654761904761907</v>
      </c>
      <c r="H95" s="212">
        <v>0.97979517388403092</v>
      </c>
      <c r="I95" s="202">
        <v>9562</v>
      </c>
      <c r="J95" s="202">
        <v>50860.111414634142</v>
      </c>
      <c r="K95" s="204">
        <v>6.2643275185764015E-3</v>
      </c>
      <c r="L95" s="202">
        <v>41</v>
      </c>
      <c r="M95" s="202">
        <v>6</v>
      </c>
      <c r="N95" s="210">
        <v>0.14634146341463414</v>
      </c>
      <c r="O95" s="211"/>
      <c r="P95" s="212">
        <v>4.1388888888888893</v>
      </c>
      <c r="Q95" s="212">
        <v>0.85481569741272601</v>
      </c>
      <c r="R95" s="202">
        <v>298</v>
      </c>
      <c r="S95" s="202">
        <v>729.6742857142857</v>
      </c>
      <c r="T95" s="204">
        <v>1.4523291571139931E-3</v>
      </c>
      <c r="U95" s="202">
        <v>410</v>
      </c>
      <c r="V95" s="202">
        <v>202</v>
      </c>
      <c r="W95" s="210">
        <v>0.49268292682926829</v>
      </c>
      <c r="X95" s="211"/>
      <c r="Y95" s="212">
        <v>4.0676567656765679</v>
      </c>
      <c r="Z95" s="212">
        <v>0.97639303261411681</v>
      </c>
      <c r="AA95" s="202">
        <v>17101.199640938386</v>
      </c>
      <c r="AB95" s="202">
        <v>51589.785700348431</v>
      </c>
      <c r="AC95" s="204">
        <v>5.9839065193205828E-3</v>
      </c>
    </row>
    <row r="96" spans="1:29" ht="14.45" customHeight="1" x14ac:dyDescent="0.25">
      <c r="A96" s="205" t="s">
        <v>291</v>
      </c>
      <c r="B96" s="119" t="e">
        <f>VLOOKUP(A96,#REF!,2,FALSE)</f>
        <v>#REF!</v>
      </c>
      <c r="C96" s="202">
        <v>270</v>
      </c>
      <c r="D96" s="202">
        <v>130</v>
      </c>
      <c r="E96" s="210">
        <v>0.48148148148148145</v>
      </c>
      <c r="F96" s="211"/>
      <c r="G96" s="212">
        <v>4.1959287531806613</v>
      </c>
      <c r="H96" s="212">
        <v>0.97476230025462296</v>
      </c>
      <c r="I96" s="202">
        <v>6545.6488549618316</v>
      </c>
      <c r="J96" s="202">
        <v>36806.495209014909</v>
      </c>
      <c r="K96" s="204">
        <v>4.5333746699941467E-3</v>
      </c>
      <c r="L96" s="202">
        <v>88</v>
      </c>
      <c r="M96" s="202">
        <v>0</v>
      </c>
      <c r="N96" s="210">
        <v>0</v>
      </c>
      <c r="O96" s="211"/>
      <c r="P96" s="212"/>
      <c r="Q96" s="212"/>
      <c r="R96" s="202">
        <v>0</v>
      </c>
      <c r="S96" s="202">
        <v>0</v>
      </c>
      <c r="T96" s="204">
        <v>0</v>
      </c>
      <c r="U96" s="202">
        <v>358</v>
      </c>
      <c r="V96" s="202">
        <v>130</v>
      </c>
      <c r="W96" s="210">
        <v>0.36312849162011174</v>
      </c>
      <c r="X96" s="211"/>
      <c r="Y96" s="212">
        <v>4.1716417910447765</v>
      </c>
      <c r="Z96" s="212">
        <v>1.0063933886810204</v>
      </c>
      <c r="AA96" s="202">
        <v>12136.095199677289</v>
      </c>
      <c r="AB96" s="202">
        <v>36806.495209014909</v>
      </c>
      <c r="AC96" s="204">
        <v>4.2691905702775309E-3</v>
      </c>
    </row>
    <row r="97" spans="1:29" ht="14.45" customHeight="1" x14ac:dyDescent="0.25">
      <c r="A97" s="205" t="s">
        <v>284</v>
      </c>
      <c r="B97" s="119" t="e">
        <f>VLOOKUP(A97,#REF!,2,FALSE)</f>
        <v>#REF!</v>
      </c>
      <c r="C97" s="202">
        <v>177</v>
      </c>
      <c r="D97" s="202">
        <v>84</v>
      </c>
      <c r="E97" s="210">
        <v>0.47457627118644069</v>
      </c>
      <c r="F97" s="211"/>
      <c r="G97" s="212">
        <v>4.3746312684365778</v>
      </c>
      <c r="H97" s="212">
        <v>0.91677552945727436</v>
      </c>
      <c r="I97" s="202">
        <v>4409.6283185840712</v>
      </c>
      <c r="J97" s="202">
        <v>24981.900412179388</v>
      </c>
      <c r="K97" s="204">
        <v>3.0769654620402924E-3</v>
      </c>
      <c r="L97" s="202">
        <v>29</v>
      </c>
      <c r="M97" s="202">
        <v>9</v>
      </c>
      <c r="N97" s="210">
        <v>0.31034482758620691</v>
      </c>
      <c r="O97" s="211"/>
      <c r="P97" s="212">
        <v>4.0925925925925926</v>
      </c>
      <c r="Q97" s="212">
        <v>0.9283302118143909</v>
      </c>
      <c r="R97" s="202">
        <v>442</v>
      </c>
      <c r="S97" s="202">
        <v>982.77284729064036</v>
      </c>
      <c r="T97" s="204">
        <v>1.9560914902502376E-3</v>
      </c>
      <c r="U97" s="202">
        <v>206</v>
      </c>
      <c r="V97" s="202">
        <v>93</v>
      </c>
      <c r="W97" s="210">
        <v>0.45145631067961167</v>
      </c>
      <c r="X97" s="211"/>
      <c r="Y97" s="212">
        <v>4.3538251366120218</v>
      </c>
      <c r="Z97" s="212">
        <v>0.9205896851094405</v>
      </c>
      <c r="AA97" s="202">
        <v>8203.056953080837</v>
      </c>
      <c r="AB97" s="202">
        <v>25964.67325947003</v>
      </c>
      <c r="AC97" s="204">
        <v>3.0116461132794E-3</v>
      </c>
    </row>
    <row r="98" spans="1:29" ht="14.45" customHeight="1" x14ac:dyDescent="0.25">
      <c r="A98" s="205" t="s">
        <v>322</v>
      </c>
      <c r="B98" s="119" t="e">
        <f>VLOOKUP(A98,#REF!,2,FALSE)</f>
        <v>#REF!</v>
      </c>
      <c r="C98" s="202">
        <v>37</v>
      </c>
      <c r="D98" s="202">
        <v>11</v>
      </c>
      <c r="E98" s="210">
        <v>0.29729729729729731</v>
      </c>
      <c r="F98" s="211"/>
      <c r="G98" s="212">
        <v>4.4318181818181817</v>
      </c>
      <c r="H98" s="212">
        <v>0.82749331058526343</v>
      </c>
      <c r="I98" s="202">
        <v>585</v>
      </c>
      <c r="J98" s="202">
        <v>3948.8990733590731</v>
      </c>
      <c r="K98" s="204">
        <v>4.8637717152555003E-4</v>
      </c>
      <c r="L98" s="202">
        <v>33</v>
      </c>
      <c r="M98" s="202">
        <v>23</v>
      </c>
      <c r="N98" s="210">
        <v>0.69696969696969702</v>
      </c>
      <c r="O98" s="211"/>
      <c r="P98" s="212">
        <v>4.1992753623188408</v>
      </c>
      <c r="Q98" s="212">
        <v>0.9743817346170347</v>
      </c>
      <c r="R98" s="202">
        <v>1159</v>
      </c>
      <c r="S98" s="202">
        <v>1662.8790129870129</v>
      </c>
      <c r="T98" s="204">
        <v>3.3097612490891903E-3</v>
      </c>
      <c r="U98" s="202">
        <v>70</v>
      </c>
      <c r="V98" s="202">
        <v>34</v>
      </c>
      <c r="W98" s="210">
        <v>0.48571428571428571</v>
      </c>
      <c r="X98" s="211"/>
      <c r="Y98" s="212">
        <v>4.2745098039215685</v>
      </c>
      <c r="Z98" s="212">
        <v>0.93574823521490436</v>
      </c>
      <c r="AA98" s="202">
        <v>1998.0786345626334</v>
      </c>
      <c r="AB98" s="202">
        <v>5611.7780863460857</v>
      </c>
      <c r="AC98" s="204">
        <v>6.5091093168933114E-4</v>
      </c>
    </row>
    <row r="99" spans="1:29" ht="14.45" customHeight="1" x14ac:dyDescent="0.25">
      <c r="A99" s="205" t="s">
        <v>245</v>
      </c>
      <c r="B99" s="119" t="e">
        <f>VLOOKUP(A99,#REF!,2,FALSE)</f>
        <v>#REF!</v>
      </c>
      <c r="C99" s="202">
        <v>5</v>
      </c>
      <c r="D99" s="202">
        <v>3</v>
      </c>
      <c r="E99" s="210">
        <v>0.6</v>
      </c>
      <c r="F99" s="211"/>
      <c r="G99" s="212">
        <v>4.5555555555555554</v>
      </c>
      <c r="H99" s="212">
        <v>0.64310205015501432</v>
      </c>
      <c r="I99" s="202">
        <v>164</v>
      </c>
      <c r="J99" s="202">
        <v>803.22514285714283</v>
      </c>
      <c r="K99" s="204">
        <v>9.8931465662591608E-5</v>
      </c>
      <c r="L99" s="202">
        <v>9</v>
      </c>
      <c r="M99" s="202">
        <v>1</v>
      </c>
      <c r="N99" s="210">
        <v>0.1111111111111111</v>
      </c>
      <c r="O99" s="211"/>
      <c r="P99" s="212">
        <v>4.5</v>
      </c>
      <c r="Q99" s="212">
        <v>0.5</v>
      </c>
      <c r="R99" s="202">
        <v>54</v>
      </c>
      <c r="S99" s="202">
        <v>132.22285714285712</v>
      </c>
      <c r="T99" s="204">
        <v>2.631737398797168E-4</v>
      </c>
      <c r="U99" s="202">
        <v>14</v>
      </c>
      <c r="V99" s="202">
        <v>4</v>
      </c>
      <c r="W99" s="210">
        <v>0.2857142857142857</v>
      </c>
      <c r="X99" s="211"/>
      <c r="Y99" s="212">
        <v>4.541666666666667</v>
      </c>
      <c r="Z99" s="212">
        <v>0.61095326244229664</v>
      </c>
      <c r="AA99" s="202">
        <v>272.5</v>
      </c>
      <c r="AB99" s="202">
        <v>935.44799999999998</v>
      </c>
      <c r="AC99" s="204">
        <v>1.085027454503963E-4</v>
      </c>
    </row>
    <row r="100" spans="1:29" ht="14.45" customHeight="1" x14ac:dyDescent="0.25">
      <c r="A100" s="205" t="s">
        <v>308</v>
      </c>
      <c r="B100" s="119" t="e">
        <f>VLOOKUP(A100,#REF!,2,FALSE)</f>
        <v>#REF!</v>
      </c>
      <c r="C100" s="202">
        <v>39</v>
      </c>
      <c r="D100" s="202">
        <v>27</v>
      </c>
      <c r="E100" s="210">
        <v>0.69230769230769229</v>
      </c>
      <c r="F100" s="211"/>
      <c r="G100" s="212">
        <v>3.632716049382716</v>
      </c>
      <c r="H100" s="212">
        <v>1.1017567479792105</v>
      </c>
      <c r="I100" s="202">
        <v>1177</v>
      </c>
      <c r="J100" s="202">
        <v>5099.6952527472531</v>
      </c>
      <c r="K100" s="204">
        <v>6.2811819360163819E-4</v>
      </c>
      <c r="L100" s="211"/>
      <c r="M100" s="211"/>
      <c r="N100" s="211"/>
      <c r="O100" s="211"/>
      <c r="P100" s="211"/>
      <c r="Q100" s="211"/>
      <c r="R100" s="211"/>
      <c r="S100" s="211"/>
      <c r="T100" s="211"/>
      <c r="U100" s="202">
        <v>39</v>
      </c>
      <c r="V100" s="202">
        <v>27</v>
      </c>
      <c r="W100" s="210">
        <v>0.69230769230769229</v>
      </c>
      <c r="X100" s="211"/>
      <c r="Y100" s="212">
        <v>3.632716049382716</v>
      </c>
      <c r="Z100" s="212">
        <v>1.1017567479792105</v>
      </c>
      <c r="AA100" s="202">
        <v>1177</v>
      </c>
      <c r="AB100" s="202">
        <v>5099.6952527472531</v>
      </c>
      <c r="AC100" s="204">
        <v>5.9151437159888059E-4</v>
      </c>
    </row>
    <row r="101" spans="1:29" ht="14.45" customHeight="1" x14ac:dyDescent="0.25">
      <c r="A101" s="205" t="s">
        <v>293</v>
      </c>
      <c r="B101" s="119" t="e">
        <f>VLOOKUP(A101,#REF!,2,FALSE)</f>
        <v>#REF!</v>
      </c>
      <c r="C101" s="202">
        <v>40</v>
      </c>
      <c r="D101" s="202">
        <v>26</v>
      </c>
      <c r="E101" s="210">
        <v>0.65</v>
      </c>
      <c r="F101" s="211"/>
      <c r="G101" s="212">
        <v>4.5641025641025639</v>
      </c>
      <c r="H101" s="212">
        <v>0.66678992943312043</v>
      </c>
      <c r="I101" s="202">
        <v>1424</v>
      </c>
      <c r="J101" s="202">
        <v>6538.6011428571428</v>
      </c>
      <c r="K101" s="204">
        <v>8.0534505200493081E-4</v>
      </c>
      <c r="L101" s="202">
        <v>13</v>
      </c>
      <c r="M101" s="202">
        <v>6</v>
      </c>
      <c r="N101" s="210">
        <v>0.46153846153846156</v>
      </c>
      <c r="O101" s="211"/>
      <c r="P101" s="212">
        <v>4.0555555555555554</v>
      </c>
      <c r="Q101" s="212">
        <v>1.0122703976827008</v>
      </c>
      <c r="R101" s="202">
        <v>292</v>
      </c>
      <c r="S101" s="202">
        <v>559.18962637362631</v>
      </c>
      <c r="T101" s="204">
        <v>1.1129998886326349E-3</v>
      </c>
      <c r="U101" s="202">
        <v>53</v>
      </c>
      <c r="V101" s="202">
        <v>32</v>
      </c>
      <c r="W101" s="210">
        <v>0.60377358490566035</v>
      </c>
      <c r="X101" s="211"/>
      <c r="Y101" s="212">
        <v>4.46875</v>
      </c>
      <c r="Z101" s="212">
        <v>0.76991781217218247</v>
      </c>
      <c r="AA101" s="202">
        <v>2458.5</v>
      </c>
      <c r="AB101" s="202">
        <v>7097.790769230769</v>
      </c>
      <c r="AC101" s="204">
        <v>8.2327375235611026E-4</v>
      </c>
    </row>
    <row r="102" spans="1:29" ht="14.45" customHeight="1" x14ac:dyDescent="0.25">
      <c r="A102" s="205" t="s">
        <v>288</v>
      </c>
      <c r="B102" s="119" t="e">
        <f>VLOOKUP(A102,#REF!,2,FALSE)</f>
        <v>#REF!</v>
      </c>
      <c r="C102" s="202">
        <v>52</v>
      </c>
      <c r="D102" s="202">
        <v>18</v>
      </c>
      <c r="E102" s="210">
        <v>0.34615384615384615</v>
      </c>
      <c r="F102" s="211"/>
      <c r="G102" s="212">
        <v>3.9814814814814814</v>
      </c>
      <c r="H102" s="212">
        <v>1.0713567158607951</v>
      </c>
      <c r="I102" s="202">
        <v>860</v>
      </c>
      <c r="J102" s="202">
        <v>5548.077362637363</v>
      </c>
      <c r="K102" s="204">
        <v>6.8334442712132681E-4</v>
      </c>
      <c r="L102" s="202">
        <v>14</v>
      </c>
      <c r="M102" s="202">
        <v>7</v>
      </c>
      <c r="N102" s="210">
        <v>0.5</v>
      </c>
      <c r="O102" s="211"/>
      <c r="P102" s="212">
        <v>4.3690476190476186</v>
      </c>
      <c r="Q102" s="212">
        <v>0.78345635160823479</v>
      </c>
      <c r="R102" s="202">
        <v>367</v>
      </c>
      <c r="S102" s="202">
        <v>674.02171428571421</v>
      </c>
      <c r="T102" s="204">
        <v>1.3415593880039822E-3</v>
      </c>
      <c r="U102" s="202">
        <v>66</v>
      </c>
      <c r="V102" s="202">
        <v>25</v>
      </c>
      <c r="W102" s="210">
        <v>0.37878787878787878</v>
      </c>
      <c r="X102" s="211"/>
      <c r="Y102" s="212">
        <v>4.09</v>
      </c>
      <c r="Z102" s="212">
        <v>1.0141827580207967</v>
      </c>
      <c r="AA102" s="202">
        <v>1379.2738461538463</v>
      </c>
      <c r="AB102" s="202">
        <v>6222.0990769230775</v>
      </c>
      <c r="AC102" s="204">
        <v>7.2170214946264296E-4</v>
      </c>
    </row>
    <row r="103" spans="1:29" ht="14.45" customHeight="1" x14ac:dyDescent="0.25">
      <c r="A103" s="205" t="s">
        <v>241</v>
      </c>
      <c r="B103" s="119" t="e">
        <f>VLOOKUP(A103,#REF!,2,FALSE)</f>
        <v>#REF!</v>
      </c>
      <c r="C103" s="202">
        <v>77</v>
      </c>
      <c r="D103" s="202">
        <v>77</v>
      </c>
      <c r="E103" s="210">
        <v>1</v>
      </c>
      <c r="F103" s="211"/>
      <c r="G103" s="212">
        <v>4.4729437229437226</v>
      </c>
      <c r="H103" s="212">
        <v>0.80604023367618449</v>
      </c>
      <c r="I103" s="202">
        <v>4133</v>
      </c>
      <c r="J103" s="202">
        <v>12399</v>
      </c>
      <c r="K103" s="204">
        <v>1.527157427352394E-3</v>
      </c>
      <c r="L103" s="202">
        <v>33</v>
      </c>
      <c r="M103" s="202">
        <v>9</v>
      </c>
      <c r="N103" s="210">
        <v>0.27272727272727271</v>
      </c>
      <c r="O103" s="211"/>
      <c r="P103" s="212">
        <v>4.3796296296296298</v>
      </c>
      <c r="Q103" s="212">
        <v>0.9301293477611221</v>
      </c>
      <c r="R103" s="202">
        <v>473</v>
      </c>
      <c r="S103" s="202">
        <v>1087.9982857142857</v>
      </c>
      <c r="T103" s="204">
        <v>2.1655301059240297E-3</v>
      </c>
      <c r="U103" s="202">
        <v>110</v>
      </c>
      <c r="V103" s="202">
        <v>86</v>
      </c>
      <c r="W103" s="210">
        <v>0.78181818181818186</v>
      </c>
      <c r="X103" s="211"/>
      <c r="Y103" s="212">
        <v>4.4631782945736438</v>
      </c>
      <c r="Z103" s="212">
        <v>0.82040402647759658</v>
      </c>
      <c r="AA103" s="202">
        <v>7485.6841535965386</v>
      </c>
      <c r="AB103" s="202">
        <v>13486.998285714286</v>
      </c>
      <c r="AC103" s="204">
        <v>1.564358833291416E-3</v>
      </c>
    </row>
    <row r="104" spans="1:29" ht="14.45" customHeight="1" x14ac:dyDescent="0.25">
      <c r="A104" s="205" t="s">
        <v>363</v>
      </c>
      <c r="B104" s="119" t="e">
        <f>VLOOKUP(A104,#REF!,2,FALSE)</f>
        <v>#REF!</v>
      </c>
      <c r="C104" s="202">
        <v>139</v>
      </c>
      <c r="D104" s="202">
        <v>62</v>
      </c>
      <c r="E104" s="210">
        <v>0.4460431654676259</v>
      </c>
      <c r="F104" s="211"/>
      <c r="G104" s="212">
        <v>3.7728494623655915</v>
      </c>
      <c r="H104" s="212">
        <v>1.1928390498486363</v>
      </c>
      <c r="I104" s="202">
        <v>2807</v>
      </c>
      <c r="J104" s="202">
        <v>16392.683827338129</v>
      </c>
      <c r="K104" s="204">
        <v>2.0190506380481405E-3</v>
      </c>
      <c r="L104" s="202">
        <v>40</v>
      </c>
      <c r="M104" s="202">
        <v>13</v>
      </c>
      <c r="N104" s="210">
        <v>0.32500000000000001</v>
      </c>
      <c r="O104" s="211"/>
      <c r="P104" s="212">
        <v>3.6346153846153846</v>
      </c>
      <c r="Q104" s="212">
        <v>1.548723785860965</v>
      </c>
      <c r="R104" s="202">
        <v>567</v>
      </c>
      <c r="S104" s="202">
        <v>1243.7549999999999</v>
      </c>
      <c r="T104" s="204">
        <v>2.4755451660710063E-3</v>
      </c>
      <c r="U104" s="202">
        <v>179</v>
      </c>
      <c r="V104" s="202">
        <v>75</v>
      </c>
      <c r="W104" s="210">
        <v>0.41899441340782123</v>
      </c>
      <c r="X104" s="211"/>
      <c r="Y104" s="212">
        <v>3.7488888888888887</v>
      </c>
      <c r="Z104" s="212">
        <v>1.2628226271548681</v>
      </c>
      <c r="AA104" s="202">
        <v>4983.9972749391727</v>
      </c>
      <c r="AB104" s="202">
        <v>17636.43882733813</v>
      </c>
      <c r="AC104" s="204">
        <v>2.0456530269284397E-3</v>
      </c>
    </row>
    <row r="105" spans="1:29" ht="14.45" customHeight="1" x14ac:dyDescent="0.25">
      <c r="A105" s="205" t="s">
        <v>353</v>
      </c>
      <c r="B105" s="119" t="e">
        <f>VLOOKUP(A105,#REF!,2,FALSE)</f>
        <v>#REF!</v>
      </c>
      <c r="C105" s="202">
        <v>57</v>
      </c>
      <c r="D105" s="202">
        <v>50</v>
      </c>
      <c r="E105" s="210">
        <v>0.8771929824561403</v>
      </c>
      <c r="F105" s="211"/>
      <c r="G105" s="212">
        <v>4.5599999999999996</v>
      </c>
      <c r="H105" s="212">
        <v>0.78934572062352371</v>
      </c>
      <c r="I105" s="202">
        <v>2736</v>
      </c>
      <c r="J105" s="202">
        <v>9357.119999999999</v>
      </c>
      <c r="K105" s="204">
        <v>1.1524957905175927E-3</v>
      </c>
      <c r="L105" s="202">
        <v>7</v>
      </c>
      <c r="M105" s="202">
        <v>4</v>
      </c>
      <c r="N105" s="210">
        <v>0.5714285714285714</v>
      </c>
      <c r="O105" s="211"/>
      <c r="P105" s="212">
        <v>4.541666666666667</v>
      </c>
      <c r="Q105" s="212">
        <v>0.8154327412825374</v>
      </c>
      <c r="R105" s="202">
        <v>218</v>
      </c>
      <c r="S105" s="202">
        <v>368.60685714285717</v>
      </c>
      <c r="T105" s="204">
        <v>7.3366774274726627E-4</v>
      </c>
      <c r="U105" s="202">
        <v>64</v>
      </c>
      <c r="V105" s="202">
        <v>54</v>
      </c>
      <c r="W105" s="210">
        <v>0.84375</v>
      </c>
      <c r="X105" s="211"/>
      <c r="Y105" s="212">
        <v>4.5586419753086416</v>
      </c>
      <c r="Z105" s="212">
        <v>0.79132215207305667</v>
      </c>
      <c r="AA105" s="202">
        <v>4410.8460038986359</v>
      </c>
      <c r="AB105" s="202">
        <v>9725.7268571428558</v>
      </c>
      <c r="AC105" s="204">
        <v>1.1280884298225599E-3</v>
      </c>
    </row>
    <row r="106" spans="1:29" ht="14.45" customHeight="1" x14ac:dyDescent="0.25">
      <c r="A106" s="205" t="s">
        <v>275</v>
      </c>
      <c r="B106" s="119" t="e">
        <f>VLOOKUP(A106,#REF!,2,FALSE)</f>
        <v>#REF!</v>
      </c>
      <c r="C106" s="202">
        <v>1138</v>
      </c>
      <c r="D106" s="202">
        <v>961</v>
      </c>
      <c r="E106" s="210">
        <v>0.84446397188049205</v>
      </c>
      <c r="F106" s="211"/>
      <c r="G106" s="212">
        <v>4.2332639611515779</v>
      </c>
      <c r="H106" s="212">
        <v>0.94757297844083521</v>
      </c>
      <c r="I106" s="202">
        <v>48818</v>
      </c>
      <c r="J106" s="202">
        <v>173428.35796045786</v>
      </c>
      <c r="K106" s="204">
        <v>2.1360787561322921E-2</v>
      </c>
      <c r="L106" s="202">
        <v>199</v>
      </c>
      <c r="M106" s="202">
        <v>96</v>
      </c>
      <c r="N106" s="210">
        <v>0.48241206030150752</v>
      </c>
      <c r="O106" s="211"/>
      <c r="P106" s="212">
        <v>4.260416666666667</v>
      </c>
      <c r="Q106" s="212">
        <v>0.9645968321589633</v>
      </c>
      <c r="R106" s="202">
        <v>4908</v>
      </c>
      <c r="S106" s="202">
        <v>9189.9886518305811</v>
      </c>
      <c r="T106" s="204">
        <v>1.8291570271706727E-2</v>
      </c>
      <c r="U106" s="202">
        <v>1337</v>
      </c>
      <c r="V106" s="202">
        <v>1057</v>
      </c>
      <c r="W106" s="210">
        <v>0.79057591623036649</v>
      </c>
      <c r="X106" s="211"/>
      <c r="Y106" s="212">
        <v>4.2357300536108484</v>
      </c>
      <c r="Z106" s="212">
        <v>0.94916381479271061</v>
      </c>
      <c r="AA106" s="202">
        <v>89018.497387616459</v>
      </c>
      <c r="AB106" s="202">
        <v>182618.34661228844</v>
      </c>
      <c r="AC106" s="204">
        <v>2.1181927779037824E-2</v>
      </c>
    </row>
    <row r="107" spans="1:29" ht="14.45" customHeight="1" x14ac:dyDescent="0.25">
      <c r="A107" s="205" t="s">
        <v>258</v>
      </c>
      <c r="B107" s="119" t="e">
        <f>VLOOKUP(A107,#REF!,2,FALSE)</f>
        <v>#REF!</v>
      </c>
      <c r="C107" s="202">
        <v>119</v>
      </c>
      <c r="D107" s="202">
        <v>113</v>
      </c>
      <c r="E107" s="210">
        <v>0.94957983193277307</v>
      </c>
      <c r="F107" s="211"/>
      <c r="G107" s="212">
        <v>4.0543981481481479</v>
      </c>
      <c r="H107" s="212">
        <v>0.97030164687199205</v>
      </c>
      <c r="I107" s="202">
        <v>5497.7638888888887</v>
      </c>
      <c r="J107" s="202">
        <v>17369.041666666668</v>
      </c>
      <c r="K107" s="204">
        <v>2.1393064752998794E-3</v>
      </c>
      <c r="L107" s="202">
        <v>19</v>
      </c>
      <c r="M107" s="202">
        <v>19</v>
      </c>
      <c r="N107" s="210">
        <v>1</v>
      </c>
      <c r="O107" s="211"/>
      <c r="P107" s="212">
        <v>4.083333333333333</v>
      </c>
      <c r="Q107" s="212">
        <v>1.1227641850382848</v>
      </c>
      <c r="R107" s="202">
        <v>931</v>
      </c>
      <c r="S107" s="202">
        <v>931</v>
      </c>
      <c r="T107" s="204">
        <v>1.8530438467480388E-3</v>
      </c>
      <c r="U107" s="202">
        <v>138</v>
      </c>
      <c r="V107" s="202">
        <v>132</v>
      </c>
      <c r="W107" s="210">
        <v>0.95652173913043481</v>
      </c>
      <c r="X107" s="211"/>
      <c r="Y107" s="212">
        <v>4.0577709611451942</v>
      </c>
      <c r="Z107" s="212">
        <v>0.98932747637810126</v>
      </c>
      <c r="AA107" s="202">
        <v>9967.3052970520439</v>
      </c>
      <c r="AB107" s="202">
        <v>18300.041666666668</v>
      </c>
      <c r="AC107" s="204">
        <v>2.1226244138530196E-3</v>
      </c>
    </row>
    <row r="108" spans="1:29" ht="14.45" customHeight="1" x14ac:dyDescent="0.25">
      <c r="A108" s="205" t="s">
        <v>256</v>
      </c>
      <c r="B108" s="119" t="e">
        <f>VLOOKUP(A108,#REF!,2,FALSE)</f>
        <v>#REF!</v>
      </c>
      <c r="C108" s="202">
        <v>536</v>
      </c>
      <c r="D108" s="202">
        <v>217</v>
      </c>
      <c r="E108" s="210">
        <v>0.40485074626865669</v>
      </c>
      <c r="F108" s="211"/>
      <c r="G108" s="212">
        <v>4.2553763440860219</v>
      </c>
      <c r="H108" s="212">
        <v>0.92689270204235619</v>
      </c>
      <c r="I108" s="202">
        <v>11081</v>
      </c>
      <c r="J108" s="202">
        <v>67505.759149253732</v>
      </c>
      <c r="K108" s="204">
        <v>8.3145351620166671E-3</v>
      </c>
      <c r="L108" s="202">
        <v>72</v>
      </c>
      <c r="M108" s="202">
        <v>20</v>
      </c>
      <c r="N108" s="210">
        <v>0.27777777777777779</v>
      </c>
      <c r="O108" s="211"/>
      <c r="P108" s="212">
        <v>4.145833333333333</v>
      </c>
      <c r="Q108" s="212">
        <v>0.99141278262667121</v>
      </c>
      <c r="R108" s="202">
        <v>995</v>
      </c>
      <c r="S108" s="202">
        <v>2278.4552380952382</v>
      </c>
      <c r="T108" s="204">
        <v>4.5349919001538338E-3</v>
      </c>
      <c r="U108" s="202">
        <v>608</v>
      </c>
      <c r="V108" s="202">
        <v>237</v>
      </c>
      <c r="W108" s="210">
        <v>0.38980263157894735</v>
      </c>
      <c r="X108" s="211"/>
      <c r="Y108" s="212">
        <v>4.2461322081575243</v>
      </c>
      <c r="Z108" s="212">
        <v>0.93300692270925667</v>
      </c>
      <c r="AA108" s="202">
        <v>16320.49423430868</v>
      </c>
      <c r="AB108" s="202">
        <v>69784.214387348969</v>
      </c>
      <c r="AC108" s="204">
        <v>8.0942808687670589E-3</v>
      </c>
    </row>
    <row r="109" spans="1:29" ht="14.45" customHeight="1" x14ac:dyDescent="0.25">
      <c r="A109" s="205" t="s">
        <v>297</v>
      </c>
      <c r="B109" s="119" t="e">
        <f>VLOOKUP(A109,#REF!,2,FALSE)</f>
        <v>#REF!</v>
      </c>
      <c r="C109" s="202">
        <v>2398</v>
      </c>
      <c r="D109" s="202">
        <v>1719</v>
      </c>
      <c r="E109" s="210">
        <v>0.71684737281067556</v>
      </c>
      <c r="F109" s="211"/>
      <c r="G109" s="212">
        <v>4.2688843695525858</v>
      </c>
      <c r="H109" s="212">
        <v>0.9197902979104946</v>
      </c>
      <c r="I109" s="202">
        <v>88058.546775130744</v>
      </c>
      <c r="J109" s="202">
        <v>368524.24985473556</v>
      </c>
      <c r="K109" s="204">
        <v>4.5390317390525757E-2</v>
      </c>
      <c r="L109" s="202">
        <v>341</v>
      </c>
      <c r="M109" s="202">
        <v>193</v>
      </c>
      <c r="N109" s="210">
        <v>0.56598240469208216</v>
      </c>
      <c r="O109" s="211"/>
      <c r="P109" s="212">
        <v>4.0820379965457683</v>
      </c>
      <c r="Q109" s="212">
        <v>1.0893606966469362</v>
      </c>
      <c r="R109" s="202">
        <v>9454</v>
      </c>
      <c r="S109" s="202">
        <v>16090.399071638038</v>
      </c>
      <c r="T109" s="204">
        <v>3.2026009657807969E-2</v>
      </c>
      <c r="U109" s="202">
        <v>2739</v>
      </c>
      <c r="V109" s="202">
        <v>1912</v>
      </c>
      <c r="W109" s="210">
        <v>0.6980649872216137</v>
      </c>
      <c r="X109" s="211"/>
      <c r="Y109" s="212">
        <v>4.2500435388366427</v>
      </c>
      <c r="Z109" s="212">
        <v>0.9399646855527376</v>
      </c>
      <c r="AA109" s="202">
        <v>155189.98162888084</v>
      </c>
      <c r="AB109" s="202">
        <v>384614.64892637363</v>
      </c>
      <c r="AC109" s="204">
        <v>4.4611507372886418E-2</v>
      </c>
    </row>
    <row r="110" spans="1:29" ht="14.45" customHeight="1" x14ac:dyDescent="0.25">
      <c r="A110" s="205" t="s">
        <v>329</v>
      </c>
      <c r="B110" s="119" t="e">
        <f>VLOOKUP(A110,#REF!,2,FALSE)</f>
        <v>#REF!</v>
      </c>
      <c r="C110" s="202">
        <v>1810</v>
      </c>
      <c r="D110" s="202">
        <v>676</v>
      </c>
      <c r="E110" s="210">
        <v>0.37348066298342542</v>
      </c>
      <c r="F110" s="211"/>
      <c r="G110" s="212">
        <v>4.1483259478089609</v>
      </c>
      <c r="H110" s="212">
        <v>1.0117640892231405</v>
      </c>
      <c r="I110" s="202">
        <v>33651.220088626294</v>
      </c>
      <c r="J110" s="202">
        <v>211464.69199314024</v>
      </c>
      <c r="K110" s="204">
        <v>2.6045638761199325E-2</v>
      </c>
      <c r="L110" s="202">
        <v>107</v>
      </c>
      <c r="M110" s="202">
        <v>36</v>
      </c>
      <c r="N110" s="210">
        <v>0.3364485981308411</v>
      </c>
      <c r="O110" s="211"/>
      <c r="P110" s="212">
        <v>4.3148148148148149</v>
      </c>
      <c r="Q110" s="212">
        <v>0.84872614948377567</v>
      </c>
      <c r="R110" s="202">
        <v>1864</v>
      </c>
      <c r="S110" s="202">
        <v>4045.2831615487316</v>
      </c>
      <c r="T110" s="204">
        <v>8.0516509891099142E-3</v>
      </c>
      <c r="U110" s="202">
        <v>1917</v>
      </c>
      <c r="V110" s="202">
        <v>712</v>
      </c>
      <c r="W110" s="210">
        <v>0.37141366718831509</v>
      </c>
      <c r="X110" s="211"/>
      <c r="Y110" s="212">
        <v>4.1567321178120613</v>
      </c>
      <c r="Z110" s="212">
        <v>1.0048283522737598</v>
      </c>
      <c r="AA110" s="202">
        <v>60444.195683573722</v>
      </c>
      <c r="AB110" s="202">
        <v>215509.97515468896</v>
      </c>
      <c r="AC110" s="204">
        <v>2.4997032412523674E-2</v>
      </c>
    </row>
    <row r="111" spans="1:29" ht="14.45" customHeight="1" x14ac:dyDescent="0.25">
      <c r="A111" s="205" t="s">
        <v>268</v>
      </c>
      <c r="B111" s="119" t="e">
        <f>VLOOKUP(A111,#REF!,2,FALSE)</f>
        <v>#REF!</v>
      </c>
      <c r="C111" s="202">
        <v>1811</v>
      </c>
      <c r="D111" s="202">
        <v>1134</v>
      </c>
      <c r="E111" s="210">
        <v>0.62617338487023744</v>
      </c>
      <c r="F111" s="211"/>
      <c r="G111" s="212">
        <v>4.2364152473641523</v>
      </c>
      <c r="H111" s="212">
        <v>0.91601279727057483</v>
      </c>
      <c r="I111" s="202">
        <v>57649.138686131388</v>
      </c>
      <c r="J111" s="202">
        <v>273114.70676525851</v>
      </c>
      <c r="K111" s="204">
        <v>3.3638934829884316E-2</v>
      </c>
      <c r="L111" s="202">
        <v>249</v>
      </c>
      <c r="M111" s="202">
        <v>54</v>
      </c>
      <c r="N111" s="210">
        <v>0.21686746987951808</v>
      </c>
      <c r="O111" s="211"/>
      <c r="P111" s="212">
        <v>4.45</v>
      </c>
      <c r="Q111" s="212">
        <v>0.82696048053316074</v>
      </c>
      <c r="R111" s="202">
        <v>2883.6</v>
      </c>
      <c r="S111" s="202">
        <v>6961.476937693631</v>
      </c>
      <c r="T111" s="204">
        <v>1.3855984966349693E-2</v>
      </c>
      <c r="U111" s="202">
        <v>2060</v>
      </c>
      <c r="V111" s="202">
        <v>1188</v>
      </c>
      <c r="W111" s="210">
        <v>0.57669902912621362</v>
      </c>
      <c r="X111" s="211"/>
      <c r="Y111" s="212">
        <v>4.2455357142857144</v>
      </c>
      <c r="Z111" s="212">
        <v>0.91340913630053144</v>
      </c>
      <c r="AA111" s="202">
        <v>109460.26626433109</v>
      </c>
      <c r="AB111" s="202">
        <v>280076.18370295211</v>
      </c>
      <c r="AC111" s="204">
        <v>3.2486076048096578E-2</v>
      </c>
    </row>
    <row r="112" spans="1:29" ht="14.45" customHeight="1" x14ac:dyDescent="0.25">
      <c r="A112" s="205" t="s">
        <v>248</v>
      </c>
      <c r="B112" s="119" t="e">
        <f>VLOOKUP(A112,#REF!,2,FALSE)</f>
        <v>#REF!</v>
      </c>
      <c r="C112" s="202">
        <v>0</v>
      </c>
      <c r="D112" s="202">
        <v>0</v>
      </c>
      <c r="E112" s="210"/>
      <c r="F112" s="211"/>
      <c r="G112" s="212"/>
      <c r="H112" s="212"/>
      <c r="I112" s="202">
        <v>0</v>
      </c>
      <c r="J112" s="202">
        <v>0</v>
      </c>
      <c r="K112" s="204">
        <v>0</v>
      </c>
      <c r="L112" s="211"/>
      <c r="M112" s="211"/>
      <c r="N112" s="211"/>
      <c r="O112" s="211"/>
      <c r="P112" s="211"/>
      <c r="Q112" s="211"/>
      <c r="R112" s="211"/>
      <c r="S112" s="211"/>
      <c r="T112" s="211"/>
      <c r="U112" s="202">
        <v>0</v>
      </c>
      <c r="V112" s="202">
        <v>0</v>
      </c>
      <c r="W112" s="210"/>
      <c r="X112" s="211"/>
      <c r="Y112" s="212"/>
      <c r="Z112" s="212"/>
      <c r="AA112" s="202">
        <v>0</v>
      </c>
      <c r="AB112" s="202">
        <v>0</v>
      </c>
      <c r="AC112" s="204">
        <v>0</v>
      </c>
    </row>
    <row r="113" spans="1:29" ht="14.45" customHeight="1" x14ac:dyDescent="0.25">
      <c r="A113" s="205" t="s">
        <v>377</v>
      </c>
      <c r="B113" s="119" t="e">
        <f>VLOOKUP(A113,#REF!,2,FALSE)</f>
        <v>#REF!</v>
      </c>
      <c r="C113" s="202">
        <v>993</v>
      </c>
      <c r="D113" s="202">
        <v>711</v>
      </c>
      <c r="E113" s="210">
        <v>0.71601208459214505</v>
      </c>
      <c r="F113" s="211"/>
      <c r="G113" s="212">
        <v>4.2360525082044074</v>
      </c>
      <c r="H113" s="212">
        <v>0.91278042390231684</v>
      </c>
      <c r="I113" s="202">
        <v>36142</v>
      </c>
      <c r="J113" s="202">
        <v>151430.40506329114</v>
      </c>
      <c r="K113" s="204">
        <v>1.8651348319976339E-2</v>
      </c>
      <c r="L113" s="202">
        <v>249</v>
      </c>
      <c r="M113" s="202">
        <v>194</v>
      </c>
      <c r="N113" s="210">
        <v>0.77911646586345384</v>
      </c>
      <c r="O113" s="211"/>
      <c r="P113" s="212">
        <v>3.9763745704467355</v>
      </c>
      <c r="Q113" s="212">
        <v>1.0591810607685515</v>
      </c>
      <c r="R113" s="202">
        <v>9257</v>
      </c>
      <c r="S113" s="202">
        <v>11881.407216494847</v>
      </c>
      <c r="T113" s="204">
        <v>2.3648516147404423E-2</v>
      </c>
      <c r="U113" s="202">
        <v>1242</v>
      </c>
      <c r="V113" s="202">
        <v>905</v>
      </c>
      <c r="W113" s="210">
        <v>0.72866344605475042</v>
      </c>
      <c r="X113" s="211"/>
      <c r="Y113" s="212">
        <v>4.1803867403314916</v>
      </c>
      <c r="Z113" s="212">
        <v>0.95205614338424061</v>
      </c>
      <c r="AA113" s="202">
        <v>60676.553010840522</v>
      </c>
      <c r="AB113" s="202">
        <v>163311.81227978598</v>
      </c>
      <c r="AC113" s="204">
        <v>1.8942560138924369E-2</v>
      </c>
    </row>
    <row r="114" spans="1:29" ht="14.45" customHeight="1" x14ac:dyDescent="0.25">
      <c r="A114" s="205" t="s">
        <v>231</v>
      </c>
      <c r="B114" s="119" t="e">
        <f>VLOOKUP(A114,#REF!,2,FALSE)</f>
        <v>#REF!</v>
      </c>
      <c r="C114" s="202">
        <v>45</v>
      </c>
      <c r="D114" s="202">
        <v>16</v>
      </c>
      <c r="E114" s="210">
        <v>0.35555555555555557</v>
      </c>
      <c r="F114" s="211"/>
      <c r="G114" s="212">
        <v>3.8489583333333335</v>
      </c>
      <c r="H114" s="212">
        <v>1.0170929562224003</v>
      </c>
      <c r="I114" s="202">
        <v>739</v>
      </c>
      <c r="J114" s="202">
        <v>4724.9548571428577</v>
      </c>
      <c r="K114" s="204">
        <v>5.8196224727723894E-4</v>
      </c>
      <c r="L114" s="211"/>
      <c r="M114" s="211"/>
      <c r="N114" s="211"/>
      <c r="O114" s="211"/>
      <c r="P114" s="211"/>
      <c r="Q114" s="211"/>
      <c r="R114" s="211"/>
      <c r="S114" s="211"/>
      <c r="T114" s="211"/>
      <c r="U114" s="202">
        <v>45</v>
      </c>
      <c r="V114" s="202">
        <v>16</v>
      </c>
      <c r="W114" s="210">
        <v>0.35555555555555557</v>
      </c>
      <c r="X114" s="211"/>
      <c r="Y114" s="212">
        <v>3.8489583333333335</v>
      </c>
      <c r="Z114" s="212">
        <v>1.0170929562224003</v>
      </c>
      <c r="AA114" s="202">
        <v>739</v>
      </c>
      <c r="AB114" s="202">
        <v>4724.9548571428577</v>
      </c>
      <c r="AC114" s="204">
        <v>5.4804818026142025E-4</v>
      </c>
    </row>
    <row r="115" spans="1:29" ht="14.45" customHeight="1" x14ac:dyDescent="0.25">
      <c r="A115" s="205" t="s">
        <v>368</v>
      </c>
      <c r="B115" s="119" t="e">
        <f>VLOOKUP(A115,#REF!,2,FALSE)</f>
        <v>#REF!</v>
      </c>
      <c r="C115" s="202">
        <v>48</v>
      </c>
      <c r="D115" s="202">
        <v>38</v>
      </c>
      <c r="E115" s="210">
        <v>0.79166666666666663</v>
      </c>
      <c r="F115" s="211"/>
      <c r="G115" s="212">
        <v>4.0328947368421053</v>
      </c>
      <c r="H115" s="212">
        <v>1.0642790358325438</v>
      </c>
      <c r="I115" s="202">
        <v>1839</v>
      </c>
      <c r="J115" s="202">
        <v>6968.8421052631575</v>
      </c>
      <c r="K115" s="204">
        <v>8.5833688048219412E-4</v>
      </c>
      <c r="L115" s="202">
        <v>21</v>
      </c>
      <c r="M115" s="202">
        <v>13</v>
      </c>
      <c r="N115" s="210">
        <v>0.61904761904761907</v>
      </c>
      <c r="O115" s="211"/>
      <c r="P115" s="212">
        <v>3.4166666666666665</v>
      </c>
      <c r="Q115" s="212">
        <v>1.3443058132947723</v>
      </c>
      <c r="R115" s="202">
        <v>533</v>
      </c>
      <c r="S115" s="202">
        <v>849.44971428571421</v>
      </c>
      <c r="T115" s="204">
        <v>1.6907277832212916E-3</v>
      </c>
      <c r="U115" s="202">
        <v>69</v>
      </c>
      <c r="V115" s="202">
        <v>51</v>
      </c>
      <c r="W115" s="210">
        <v>0.73913043478260865</v>
      </c>
      <c r="X115" s="211"/>
      <c r="Y115" s="212">
        <v>3.8758169934640523</v>
      </c>
      <c r="Z115" s="212">
        <v>1.1733437022598234</v>
      </c>
      <c r="AA115" s="202">
        <v>2819.2096530920062</v>
      </c>
      <c r="AB115" s="202">
        <v>7818.2918195488719</v>
      </c>
      <c r="AC115" s="204">
        <v>9.0684477079797804E-4</v>
      </c>
    </row>
    <row r="116" spans="1:29" ht="14.45" customHeight="1" x14ac:dyDescent="0.25">
      <c r="A116" s="205" t="s">
        <v>247</v>
      </c>
      <c r="B116" s="119" t="e">
        <f>VLOOKUP(A116,#REF!,2,FALSE)</f>
        <v>#REF!</v>
      </c>
      <c r="C116" s="211"/>
      <c r="D116" s="211"/>
      <c r="E116" s="211"/>
      <c r="F116" s="211"/>
      <c r="G116" s="211"/>
      <c r="H116" s="211"/>
      <c r="I116" s="211"/>
      <c r="J116" s="211"/>
      <c r="K116" s="211"/>
      <c r="L116" s="202">
        <v>38</v>
      </c>
      <c r="M116" s="202">
        <v>34</v>
      </c>
      <c r="N116" s="210">
        <v>0.89473684210526316</v>
      </c>
      <c r="O116" s="211"/>
      <c r="P116" s="212">
        <v>4.1965811965811968</v>
      </c>
      <c r="Q116" s="212">
        <v>0.95621508361987073</v>
      </c>
      <c r="R116" s="202">
        <v>1712.2051282051282</v>
      </c>
      <c r="S116" s="202">
        <v>1913.6410256410256</v>
      </c>
      <c r="T116" s="204">
        <v>3.8088729618138651E-3</v>
      </c>
      <c r="U116" s="202">
        <v>38</v>
      </c>
      <c r="V116" s="202">
        <v>34</v>
      </c>
      <c r="W116" s="210">
        <v>0.89473684210526316</v>
      </c>
      <c r="X116" s="211"/>
      <c r="Y116" s="212">
        <v>4.1965811965811968</v>
      </c>
      <c r="Z116" s="212">
        <v>0.95621508361987073</v>
      </c>
      <c r="AA116" s="202">
        <v>1712.2051282051282</v>
      </c>
      <c r="AB116" s="202">
        <v>1913.6410256410256</v>
      </c>
      <c r="AC116" s="204">
        <v>2.2196349245341644E-4</v>
      </c>
    </row>
    <row r="117" spans="1:29" ht="14.45" customHeight="1" x14ac:dyDescent="0.25">
      <c r="A117" s="205" t="s">
        <v>354</v>
      </c>
      <c r="B117" s="119" t="e">
        <f>VLOOKUP(A117,#REF!,2,FALSE)</f>
        <v>#REF!</v>
      </c>
      <c r="C117" s="202">
        <v>81</v>
      </c>
      <c r="D117" s="202">
        <v>23</v>
      </c>
      <c r="E117" s="210">
        <v>0.2839506172839506</v>
      </c>
      <c r="F117" s="211"/>
      <c r="G117" s="212">
        <v>4.3007246376811592</v>
      </c>
      <c r="H117" s="212">
        <v>1.0495683292662681</v>
      </c>
      <c r="I117" s="202">
        <v>1187</v>
      </c>
      <c r="J117" s="202">
        <v>8109.5086349206349</v>
      </c>
      <c r="K117" s="204">
        <v>9.9883025598817817E-4</v>
      </c>
      <c r="L117" s="202">
        <v>20</v>
      </c>
      <c r="M117" s="202">
        <v>6</v>
      </c>
      <c r="N117" s="210">
        <v>0.3</v>
      </c>
      <c r="O117" s="211"/>
      <c r="P117" s="212">
        <v>4.5694444444444446</v>
      </c>
      <c r="Q117" s="212">
        <v>0.76059897611627936</v>
      </c>
      <c r="R117" s="202">
        <v>329</v>
      </c>
      <c r="S117" s="202">
        <v>738.46400000000006</v>
      </c>
      <c r="T117" s="204">
        <v>1.4698240292641716E-3</v>
      </c>
      <c r="U117" s="202">
        <v>101</v>
      </c>
      <c r="V117" s="202">
        <v>29</v>
      </c>
      <c r="W117" s="210">
        <v>0.28712871287128711</v>
      </c>
      <c r="X117" s="211"/>
      <c r="Y117" s="212">
        <v>4.3563218390804597</v>
      </c>
      <c r="Z117" s="212">
        <v>1.0026059320791469</v>
      </c>
      <c r="AA117" s="202">
        <v>1841.4593993325918</v>
      </c>
      <c r="AB117" s="202">
        <v>8847.9726349206358</v>
      </c>
      <c r="AC117" s="204">
        <v>1.0262775937934187E-3</v>
      </c>
    </row>
    <row r="118" spans="1:29" ht="14.45" customHeight="1" x14ac:dyDescent="0.25">
      <c r="A118" s="205" t="s">
        <v>350</v>
      </c>
      <c r="B118" s="119" t="e">
        <f>VLOOKUP(A118,#REF!,2,FALSE)</f>
        <v>#REF!</v>
      </c>
      <c r="C118" s="202">
        <v>144</v>
      </c>
      <c r="D118" s="202">
        <v>76</v>
      </c>
      <c r="E118" s="210">
        <v>0.52777777777777779</v>
      </c>
      <c r="F118" s="211"/>
      <c r="G118" s="212">
        <v>4.3004385964912277</v>
      </c>
      <c r="H118" s="212">
        <v>0.90301628120668476</v>
      </c>
      <c r="I118" s="202">
        <v>3922</v>
      </c>
      <c r="J118" s="202">
        <v>20942.359428571428</v>
      </c>
      <c r="K118" s="204">
        <v>2.5794241267542779E-3</v>
      </c>
      <c r="L118" s="211"/>
      <c r="M118" s="211"/>
      <c r="N118" s="211"/>
      <c r="O118" s="211"/>
      <c r="P118" s="211"/>
      <c r="Q118" s="211"/>
      <c r="R118" s="211"/>
      <c r="S118" s="211"/>
      <c r="T118" s="211"/>
      <c r="U118" s="202">
        <v>144</v>
      </c>
      <c r="V118" s="202">
        <v>76</v>
      </c>
      <c r="W118" s="210">
        <v>0.52777777777777779</v>
      </c>
      <c r="X118" s="211"/>
      <c r="Y118" s="212">
        <v>4.3004385964912277</v>
      </c>
      <c r="Z118" s="212">
        <v>0.90301628120668476</v>
      </c>
      <c r="AA118" s="202">
        <v>3922</v>
      </c>
      <c r="AB118" s="202">
        <v>20942.359428571428</v>
      </c>
      <c r="AC118" s="204">
        <v>2.4291072237141911E-3</v>
      </c>
    </row>
    <row r="119" spans="1:29" ht="14.45" customHeight="1" x14ac:dyDescent="0.25">
      <c r="A119" s="205" t="s">
        <v>257</v>
      </c>
      <c r="B119" s="119" t="e">
        <f>VLOOKUP(A119,#REF!,2,FALSE)</f>
        <v>#REF!</v>
      </c>
      <c r="C119" s="202">
        <v>275</v>
      </c>
      <c r="D119" s="202">
        <v>192</v>
      </c>
      <c r="E119" s="210">
        <v>0.69818181818181824</v>
      </c>
      <c r="F119" s="211"/>
      <c r="G119" s="212">
        <v>3.9934895833333335</v>
      </c>
      <c r="H119" s="212">
        <v>0.94577421432117015</v>
      </c>
      <c r="I119" s="202">
        <v>9201</v>
      </c>
      <c r="J119" s="202">
        <v>39535.239179220771</v>
      </c>
      <c r="K119" s="204">
        <v>4.8694680340914884E-3</v>
      </c>
      <c r="L119" s="202">
        <v>14</v>
      </c>
      <c r="M119" s="202">
        <v>2</v>
      </c>
      <c r="N119" s="210">
        <v>0.14285714285714285</v>
      </c>
      <c r="O119" s="211"/>
      <c r="P119" s="212">
        <v>3.875</v>
      </c>
      <c r="Q119" s="212">
        <v>0.59947894041408989</v>
      </c>
      <c r="R119" s="202">
        <v>93</v>
      </c>
      <c r="S119" s="202">
        <v>227.71714285714285</v>
      </c>
      <c r="T119" s="204">
        <v>4.5324366312617901E-4</v>
      </c>
      <c r="U119" s="202">
        <v>289</v>
      </c>
      <c r="V119" s="202">
        <v>194</v>
      </c>
      <c r="W119" s="210">
        <v>0.67128027681660896</v>
      </c>
      <c r="X119" s="211"/>
      <c r="Y119" s="212">
        <v>3.9922680412371134</v>
      </c>
      <c r="Z119" s="212">
        <v>0.94292919911605733</v>
      </c>
      <c r="AA119" s="202">
        <v>18219.339604671757</v>
      </c>
      <c r="AB119" s="202">
        <v>39762.956322077916</v>
      </c>
      <c r="AC119" s="204">
        <v>4.6121109117445826E-3</v>
      </c>
    </row>
    <row r="120" spans="1:29" ht="14.45" customHeight="1" x14ac:dyDescent="0.25">
      <c r="A120" s="205" t="s">
        <v>367</v>
      </c>
      <c r="B120" s="119" t="e">
        <f>VLOOKUP(A120,#REF!,2,FALSE)</f>
        <v>#REF!</v>
      </c>
      <c r="C120" s="202">
        <v>18</v>
      </c>
      <c r="D120" s="202">
        <v>11</v>
      </c>
      <c r="E120" s="210">
        <v>0.61111111111111116</v>
      </c>
      <c r="F120" s="211"/>
      <c r="G120" s="212">
        <v>4</v>
      </c>
      <c r="H120" s="212">
        <v>1.1214168527250505</v>
      </c>
      <c r="I120" s="202">
        <v>528</v>
      </c>
      <c r="J120" s="202">
        <v>2550.0891428571426</v>
      </c>
      <c r="K120" s="204">
        <v>3.1408884385232565E-4</v>
      </c>
      <c r="L120" s="211"/>
      <c r="M120" s="211"/>
      <c r="N120" s="211"/>
      <c r="O120" s="211"/>
      <c r="P120" s="211"/>
      <c r="Q120" s="211"/>
      <c r="R120" s="211"/>
      <c r="S120" s="211"/>
      <c r="T120" s="211"/>
      <c r="U120" s="202">
        <v>18</v>
      </c>
      <c r="V120" s="202">
        <v>11</v>
      </c>
      <c r="W120" s="210">
        <v>0.61111111111111116</v>
      </c>
      <c r="X120" s="211"/>
      <c r="Y120" s="212">
        <v>4</v>
      </c>
      <c r="Z120" s="212">
        <v>1.1214168527250505</v>
      </c>
      <c r="AA120" s="202">
        <v>528</v>
      </c>
      <c r="AB120" s="202">
        <v>2550.0891428571426</v>
      </c>
      <c r="AC120" s="204">
        <v>2.9578519933042544E-4</v>
      </c>
    </row>
    <row r="121" spans="1:29" ht="14.45" customHeight="1" x14ac:dyDescent="0.25">
      <c r="A121" s="205" t="s">
        <v>348</v>
      </c>
      <c r="B121" s="119" t="e">
        <f>VLOOKUP(A121,#REF!,2,FALSE)</f>
        <v>#REF!</v>
      </c>
      <c r="C121" s="202">
        <v>133</v>
      </c>
      <c r="D121" s="202">
        <v>104</v>
      </c>
      <c r="E121" s="210">
        <v>0.78195488721804507</v>
      </c>
      <c r="F121" s="211"/>
      <c r="G121" s="212">
        <v>4.3188976377952759</v>
      </c>
      <c r="H121" s="212">
        <v>0.90239392467827217</v>
      </c>
      <c r="I121" s="202">
        <v>5389.9842519685035</v>
      </c>
      <c r="J121" s="202">
        <v>20678.881889763776</v>
      </c>
      <c r="K121" s="204">
        <v>2.5469721806029243E-3</v>
      </c>
      <c r="L121" s="202">
        <v>3</v>
      </c>
      <c r="M121" s="202">
        <v>3</v>
      </c>
      <c r="N121" s="210">
        <v>1</v>
      </c>
      <c r="O121" s="211"/>
      <c r="P121" s="212">
        <v>4.6388888888888893</v>
      </c>
      <c r="Q121" s="212">
        <v>0.58465458832913975</v>
      </c>
      <c r="R121" s="202">
        <v>167</v>
      </c>
      <c r="S121" s="202">
        <v>167</v>
      </c>
      <c r="T121" s="204">
        <v>3.3239347197306388E-4</v>
      </c>
      <c r="U121" s="202">
        <v>136</v>
      </c>
      <c r="V121" s="202">
        <v>107</v>
      </c>
      <c r="W121" s="210">
        <v>0.78676470588235292</v>
      </c>
      <c r="X121" s="211"/>
      <c r="Y121" s="212">
        <v>4.3262820512820515</v>
      </c>
      <c r="Z121" s="212">
        <v>0.89761880004301542</v>
      </c>
      <c r="AA121" s="202">
        <v>10579.922756410257</v>
      </c>
      <c r="AB121" s="202">
        <v>20845.881889763776</v>
      </c>
      <c r="AC121" s="204">
        <v>2.4179167803812344E-3</v>
      </c>
    </row>
    <row r="122" spans="1:29" ht="14.45" customHeight="1" x14ac:dyDescent="0.25">
      <c r="A122" s="205" t="s">
        <v>269</v>
      </c>
      <c r="B122" s="119" t="e">
        <f>VLOOKUP(A122,#REF!,2,FALSE)</f>
        <v>#REF!</v>
      </c>
      <c r="C122" s="202">
        <v>1944</v>
      </c>
      <c r="D122" s="202">
        <v>1157</v>
      </c>
      <c r="E122" s="210">
        <v>0.59516460905349799</v>
      </c>
      <c r="F122" s="211"/>
      <c r="G122" s="212">
        <v>4.3186528497409329</v>
      </c>
      <c r="H122" s="212">
        <v>0.90164745514680311</v>
      </c>
      <c r="I122" s="202">
        <v>59960.176165803103</v>
      </c>
      <c r="J122" s="202">
        <v>295442.18844625377</v>
      </c>
      <c r="K122" s="204">
        <v>3.6388961403253657E-2</v>
      </c>
      <c r="L122" s="202">
        <v>298</v>
      </c>
      <c r="M122" s="202">
        <v>190</v>
      </c>
      <c r="N122" s="210">
        <v>0.63758389261744963</v>
      </c>
      <c r="O122" s="211"/>
      <c r="P122" s="212">
        <v>4.2846491228070178</v>
      </c>
      <c r="Q122" s="212">
        <v>0.93945269604874793</v>
      </c>
      <c r="R122" s="202">
        <v>9769</v>
      </c>
      <c r="S122" s="202">
        <v>15199.58990987536</v>
      </c>
      <c r="T122" s="204">
        <v>3.0252960854552216E-2</v>
      </c>
      <c r="U122" s="202">
        <v>2242</v>
      </c>
      <c r="V122" s="202">
        <v>1347</v>
      </c>
      <c r="W122" s="210">
        <v>0.60080285459411242</v>
      </c>
      <c r="X122" s="211"/>
      <c r="Y122" s="212">
        <v>4.313860039564787</v>
      </c>
      <c r="Z122" s="212">
        <v>0.90714865413989065</v>
      </c>
      <c r="AA122" s="202">
        <v>104043.55789186027</v>
      </c>
      <c r="AB122" s="202">
        <v>310641.77835612913</v>
      </c>
      <c r="AC122" s="204">
        <v>3.6031383682720478E-2</v>
      </c>
    </row>
    <row r="123" spans="1:29" ht="14.45" customHeight="1" x14ac:dyDescent="0.25">
      <c r="A123" s="205" t="s">
        <v>333</v>
      </c>
      <c r="B123" s="119" t="e">
        <f>VLOOKUP(A123,#REF!,2,FALSE)</f>
        <v>#REF!</v>
      </c>
      <c r="C123" s="202">
        <v>24</v>
      </c>
      <c r="D123" s="202">
        <v>15</v>
      </c>
      <c r="E123" s="210">
        <v>0.625</v>
      </c>
      <c r="F123" s="211"/>
      <c r="G123" s="212">
        <v>4.166666666666667</v>
      </c>
      <c r="H123" s="212">
        <v>0.89131613047472713</v>
      </c>
      <c r="I123" s="202">
        <v>750</v>
      </c>
      <c r="J123" s="202">
        <v>3558.5357142857138</v>
      </c>
      <c r="K123" s="204">
        <v>4.3829697931850831E-4</v>
      </c>
      <c r="L123" s="211"/>
      <c r="M123" s="211"/>
      <c r="N123" s="211"/>
      <c r="O123" s="211"/>
      <c r="P123" s="211"/>
      <c r="Q123" s="211"/>
      <c r="R123" s="211"/>
      <c r="S123" s="211"/>
      <c r="T123" s="211"/>
      <c r="U123" s="202">
        <v>24</v>
      </c>
      <c r="V123" s="202">
        <v>15</v>
      </c>
      <c r="W123" s="210">
        <v>0.625</v>
      </c>
      <c r="X123" s="211"/>
      <c r="Y123" s="212">
        <v>4.166666666666667</v>
      </c>
      <c r="Z123" s="212">
        <v>0.89131613047472713</v>
      </c>
      <c r="AA123" s="202">
        <v>750</v>
      </c>
      <c r="AB123" s="202">
        <v>3558.5357142857138</v>
      </c>
      <c r="AC123" s="204">
        <v>4.1275505937613525E-4</v>
      </c>
    </row>
    <row r="124" spans="1:29" ht="14.45" customHeight="1" x14ac:dyDescent="0.25">
      <c r="A124" s="205" t="s">
        <v>325</v>
      </c>
      <c r="B124" s="119" t="e">
        <f>VLOOKUP(A124,#REF!,2,FALSE)</f>
        <v>#REF!</v>
      </c>
      <c r="C124" s="202">
        <v>20</v>
      </c>
      <c r="D124" s="202">
        <v>14</v>
      </c>
      <c r="E124" s="210">
        <v>0.7</v>
      </c>
      <c r="F124" s="211"/>
      <c r="G124" s="212">
        <v>4.5476190476190474</v>
      </c>
      <c r="H124" s="212">
        <v>0.78535345249860322</v>
      </c>
      <c r="I124" s="202">
        <v>764</v>
      </c>
      <c r="J124" s="202">
        <v>3274.2857142857142</v>
      </c>
      <c r="K124" s="204">
        <v>4.0328653503066917E-4</v>
      </c>
      <c r="L124" s="211"/>
      <c r="M124" s="211"/>
      <c r="N124" s="211"/>
      <c r="O124" s="211"/>
      <c r="P124" s="211"/>
      <c r="Q124" s="211"/>
      <c r="R124" s="211"/>
      <c r="S124" s="211"/>
      <c r="T124" s="211"/>
      <c r="U124" s="202">
        <v>20</v>
      </c>
      <c r="V124" s="202">
        <v>14</v>
      </c>
      <c r="W124" s="210">
        <v>0.7</v>
      </c>
      <c r="X124" s="211"/>
      <c r="Y124" s="212">
        <v>4.5476190476190474</v>
      </c>
      <c r="Z124" s="212">
        <v>0.78535345249860322</v>
      </c>
      <c r="AA124" s="202">
        <v>764</v>
      </c>
      <c r="AB124" s="202">
        <v>3274.2857142857142</v>
      </c>
      <c r="AC124" s="204">
        <v>3.7978486178709224E-4</v>
      </c>
    </row>
    <row r="125" spans="1:29" ht="14.45" customHeight="1" x14ac:dyDescent="0.25">
      <c r="A125" s="205" t="s">
        <v>330</v>
      </c>
      <c r="B125" s="119" t="e">
        <f>VLOOKUP(A125,#REF!,2,FALSE)</f>
        <v>#REF!</v>
      </c>
      <c r="C125" s="202">
        <v>591</v>
      </c>
      <c r="D125" s="202">
        <v>288</v>
      </c>
      <c r="E125" s="210">
        <v>0.48730964467005078</v>
      </c>
      <c r="F125" s="211"/>
      <c r="G125" s="212">
        <v>3.8938078703703702</v>
      </c>
      <c r="H125" s="212">
        <v>1.0461054715135805</v>
      </c>
      <c r="I125" s="202">
        <v>13457</v>
      </c>
      <c r="J125" s="202">
        <v>75189.362706308908</v>
      </c>
      <c r="K125" s="204">
        <v>9.2609076308438378E-3</v>
      </c>
      <c r="L125" s="202">
        <v>226</v>
      </c>
      <c r="M125" s="202">
        <v>89</v>
      </c>
      <c r="N125" s="210">
        <v>0.39380530973451328</v>
      </c>
      <c r="O125" s="211"/>
      <c r="P125" s="212">
        <v>3.9567610062893084</v>
      </c>
      <c r="Q125" s="212">
        <v>1.085431635785399</v>
      </c>
      <c r="R125" s="202">
        <v>4225.8207547169814</v>
      </c>
      <c r="S125" s="202">
        <v>8676.4915017532148</v>
      </c>
      <c r="T125" s="204">
        <v>1.7269515777320565E-2</v>
      </c>
      <c r="U125" s="202">
        <v>817</v>
      </c>
      <c r="V125" s="202">
        <v>377</v>
      </c>
      <c r="W125" s="210">
        <v>0.46144430844553241</v>
      </c>
      <c r="X125" s="211"/>
      <c r="Y125" s="212">
        <v>3.9107445008460235</v>
      </c>
      <c r="Z125" s="212">
        <v>1.0571981714121883</v>
      </c>
      <c r="AA125" s="202">
        <v>20864.929434856178</v>
      </c>
      <c r="AB125" s="202">
        <v>83865.854208062126</v>
      </c>
      <c r="AC125" s="204">
        <v>9.7276122575679375E-3</v>
      </c>
    </row>
    <row r="126" spans="1:29" ht="14.45" customHeight="1" x14ac:dyDescent="0.25">
      <c r="A126" s="205" t="s">
        <v>381</v>
      </c>
      <c r="B126" s="119" t="e">
        <f>VLOOKUP(A126,#REF!,2,FALSE)</f>
        <v>#REF!</v>
      </c>
      <c r="C126" s="202">
        <v>447</v>
      </c>
      <c r="D126" s="202">
        <v>204</v>
      </c>
      <c r="E126" s="210">
        <v>0.4563758389261745</v>
      </c>
      <c r="F126" s="211"/>
      <c r="G126" s="212">
        <v>4.170321637426901</v>
      </c>
      <c r="H126" s="212">
        <v>0.98167234773306422</v>
      </c>
      <c r="I126" s="202">
        <v>10208.947368421053</v>
      </c>
      <c r="J126" s="202">
        <v>58973.966555987281</v>
      </c>
      <c r="K126" s="204">
        <v>7.2636931241557914E-3</v>
      </c>
      <c r="L126" s="202">
        <v>130</v>
      </c>
      <c r="M126" s="202">
        <v>40</v>
      </c>
      <c r="N126" s="210">
        <v>0.30769230769230771</v>
      </c>
      <c r="O126" s="211"/>
      <c r="P126" s="212">
        <v>3.8979166666666667</v>
      </c>
      <c r="Q126" s="212">
        <v>1.0743194712881678</v>
      </c>
      <c r="R126" s="202">
        <v>1871</v>
      </c>
      <c r="S126" s="202">
        <v>4170.2328351648357</v>
      </c>
      <c r="T126" s="204">
        <v>8.3003483294402016E-3</v>
      </c>
      <c r="U126" s="202">
        <v>577</v>
      </c>
      <c r="V126" s="202">
        <v>244</v>
      </c>
      <c r="W126" s="210">
        <v>0.42287694974003465</v>
      </c>
      <c r="X126" s="211"/>
      <c r="Y126" s="212">
        <v>4.1296641791044779</v>
      </c>
      <c r="Z126" s="212">
        <v>1.0007661923753413</v>
      </c>
      <c r="AA126" s="202">
        <v>17229.95269961204</v>
      </c>
      <c r="AB126" s="202">
        <v>63144.199391152113</v>
      </c>
      <c r="AC126" s="204">
        <v>7.3241045928873084E-3</v>
      </c>
    </row>
    <row r="127" spans="1:29" ht="14.45" customHeight="1" x14ac:dyDescent="0.25">
      <c r="A127" s="205" t="s">
        <v>339</v>
      </c>
      <c r="B127" s="119" t="e">
        <f>VLOOKUP(A127,#REF!,2,FALSE)</f>
        <v>#REF!</v>
      </c>
      <c r="C127" s="202">
        <v>814</v>
      </c>
      <c r="D127" s="202">
        <v>575</v>
      </c>
      <c r="E127" s="210">
        <v>0.70638820638820643</v>
      </c>
      <c r="F127" s="211"/>
      <c r="G127" s="212">
        <v>4.2421739130434784</v>
      </c>
      <c r="H127" s="212">
        <v>0.93159730300792698</v>
      </c>
      <c r="I127" s="202">
        <v>29271</v>
      </c>
      <c r="J127" s="202">
        <v>124312.66434782608</v>
      </c>
      <c r="K127" s="204">
        <v>1.5311316128135152E-2</v>
      </c>
      <c r="L127" s="202">
        <v>114</v>
      </c>
      <c r="M127" s="202">
        <v>66</v>
      </c>
      <c r="N127" s="210">
        <v>0.57894736842105265</v>
      </c>
      <c r="O127" s="211"/>
      <c r="P127" s="212">
        <v>3.7638888888888888</v>
      </c>
      <c r="Q127" s="212">
        <v>1.1485867591130747</v>
      </c>
      <c r="R127" s="202">
        <v>2981</v>
      </c>
      <c r="S127" s="202">
        <v>4994.7215338345868</v>
      </c>
      <c r="T127" s="204">
        <v>9.9413942046102117E-3</v>
      </c>
      <c r="U127" s="202">
        <v>928</v>
      </c>
      <c r="V127" s="202">
        <v>641</v>
      </c>
      <c r="W127" s="210">
        <v>0.69073275862068961</v>
      </c>
      <c r="X127" s="211"/>
      <c r="Y127" s="212">
        <v>4.1929277171086845</v>
      </c>
      <c r="Z127" s="212">
        <v>0.96720101526391467</v>
      </c>
      <c r="AA127" s="202">
        <v>52285.557840407084</v>
      </c>
      <c r="AB127" s="202">
        <v>129307.38588166067</v>
      </c>
      <c r="AC127" s="204">
        <v>1.4998381925210162E-2</v>
      </c>
    </row>
    <row r="128" spans="1:29" ht="14.45" customHeight="1" x14ac:dyDescent="0.25">
      <c r="A128" s="205" t="s">
        <v>365</v>
      </c>
      <c r="B128" s="119" t="e">
        <f>VLOOKUP(A128,#REF!,2,FALSE)</f>
        <v>#REF!</v>
      </c>
      <c r="C128" s="202">
        <v>869</v>
      </c>
      <c r="D128" s="202">
        <v>641</v>
      </c>
      <c r="E128" s="210">
        <v>0.73762945914844646</v>
      </c>
      <c r="F128" s="211"/>
      <c r="G128" s="212">
        <v>4.262220488819553</v>
      </c>
      <c r="H128" s="212">
        <v>0.93733041621350832</v>
      </c>
      <c r="I128" s="202">
        <v>32785</v>
      </c>
      <c r="J128" s="202">
        <v>133339.3057722309</v>
      </c>
      <c r="K128" s="204">
        <v>1.6423107602877199E-2</v>
      </c>
      <c r="L128" s="202">
        <v>20</v>
      </c>
      <c r="M128" s="202">
        <v>11</v>
      </c>
      <c r="N128" s="210">
        <v>0.55000000000000004</v>
      </c>
      <c r="O128" s="211"/>
      <c r="P128" s="212">
        <v>4.0757575757575761</v>
      </c>
      <c r="Q128" s="212">
        <v>1.041714874917518</v>
      </c>
      <c r="R128" s="202">
        <v>538</v>
      </c>
      <c r="S128" s="202">
        <v>933.19942857142848</v>
      </c>
      <c r="T128" s="204">
        <v>1.8574215455457266E-3</v>
      </c>
      <c r="U128" s="202">
        <v>889</v>
      </c>
      <c r="V128" s="202">
        <v>652</v>
      </c>
      <c r="W128" s="210">
        <v>0.73340832395950506</v>
      </c>
      <c r="X128" s="211"/>
      <c r="Y128" s="212">
        <v>4.2590746421267891</v>
      </c>
      <c r="Z128" s="212">
        <v>0.93949468782808299</v>
      </c>
      <c r="AA128" s="202">
        <v>63762.651707830235</v>
      </c>
      <c r="AB128" s="202">
        <v>134272.50520080232</v>
      </c>
      <c r="AC128" s="204">
        <v>1.5574286815290286E-2</v>
      </c>
    </row>
    <row r="129" spans="1:29" ht="14.45" customHeight="1" x14ac:dyDescent="0.25">
      <c r="A129" s="205" t="s">
        <v>379</v>
      </c>
      <c r="B129" s="119" t="e">
        <f>VLOOKUP(A129,#REF!,2,FALSE)</f>
        <v>#REF!</v>
      </c>
      <c r="C129" s="202">
        <v>20</v>
      </c>
      <c r="D129" s="202">
        <v>20</v>
      </c>
      <c r="E129" s="210">
        <v>1</v>
      </c>
      <c r="F129" s="211"/>
      <c r="G129" s="212">
        <v>4.0250000000000004</v>
      </c>
      <c r="H129" s="212">
        <v>1.1399013115177987</v>
      </c>
      <c r="I129" s="202">
        <v>966</v>
      </c>
      <c r="J129" s="202">
        <v>2898</v>
      </c>
      <c r="K129" s="204">
        <v>3.5694025521955305E-4</v>
      </c>
      <c r="L129" s="211"/>
      <c r="M129" s="211"/>
      <c r="N129" s="211"/>
      <c r="O129" s="211"/>
      <c r="P129" s="211"/>
      <c r="Q129" s="211"/>
      <c r="R129" s="211"/>
      <c r="S129" s="211"/>
      <c r="T129" s="211"/>
      <c r="U129" s="202">
        <v>20</v>
      </c>
      <c r="V129" s="202">
        <v>20</v>
      </c>
      <c r="W129" s="210">
        <v>1</v>
      </c>
      <c r="X129" s="211"/>
      <c r="Y129" s="212">
        <v>4.0250000000000004</v>
      </c>
      <c r="Z129" s="212">
        <v>1.1399013115177987</v>
      </c>
      <c r="AA129" s="202">
        <v>966</v>
      </c>
      <c r="AB129" s="202">
        <v>2898</v>
      </c>
      <c r="AC129" s="204">
        <v>3.3613942871784264E-4</v>
      </c>
    </row>
    <row r="130" spans="1:29" ht="14.45" customHeight="1" x14ac:dyDescent="0.25">
      <c r="A130" s="205" t="s">
        <v>309</v>
      </c>
      <c r="B130" s="119" t="e">
        <f>VLOOKUP(A130,#REF!,2,FALSE)</f>
        <v>#REF!</v>
      </c>
      <c r="C130" s="202">
        <v>1507</v>
      </c>
      <c r="D130" s="202">
        <v>955</v>
      </c>
      <c r="E130" s="210">
        <v>0.63370935633709358</v>
      </c>
      <c r="F130" s="211"/>
      <c r="G130" s="212">
        <v>4.1351657940663173</v>
      </c>
      <c r="H130" s="212">
        <v>0.98998599356316397</v>
      </c>
      <c r="I130" s="202">
        <v>47389</v>
      </c>
      <c r="J130" s="202">
        <v>222321.3718384681</v>
      </c>
      <c r="K130" s="204">
        <v>2.7382832023734972E-2</v>
      </c>
      <c r="L130" s="202">
        <v>334</v>
      </c>
      <c r="M130" s="202">
        <v>110</v>
      </c>
      <c r="N130" s="210">
        <v>0.32934131736526945</v>
      </c>
      <c r="O130" s="211"/>
      <c r="P130" s="212">
        <v>4.1409090909090907</v>
      </c>
      <c r="Q130" s="212">
        <v>1.0451152282023188</v>
      </c>
      <c r="R130" s="202">
        <v>5466</v>
      </c>
      <c r="S130" s="202">
        <v>11941.652961505561</v>
      </c>
      <c r="T130" s="204">
        <v>2.3768428077678167E-2</v>
      </c>
      <c r="U130" s="202">
        <v>1841</v>
      </c>
      <c r="V130" s="202">
        <v>1065</v>
      </c>
      <c r="W130" s="210">
        <v>0.5784899511135253</v>
      </c>
      <c r="X130" s="211"/>
      <c r="Y130" s="212">
        <v>4.1357589984350547</v>
      </c>
      <c r="Z130" s="212">
        <v>0.9958229717462479</v>
      </c>
      <c r="AA130" s="202">
        <v>78308.380077674374</v>
      </c>
      <c r="AB130" s="202">
        <v>234263.02479997365</v>
      </c>
      <c r="AC130" s="204">
        <v>2.717220128570633E-2</v>
      </c>
    </row>
    <row r="131" spans="1:29" ht="14.45" customHeight="1" x14ac:dyDescent="0.25">
      <c r="A131" s="205" t="s">
        <v>375</v>
      </c>
      <c r="B131" s="119" t="e">
        <f>VLOOKUP(A131,#REF!,2,FALSE)</f>
        <v>#REF!</v>
      </c>
      <c r="C131" s="202">
        <v>740</v>
      </c>
      <c r="D131" s="202">
        <v>462</v>
      </c>
      <c r="E131" s="210">
        <v>0.62432432432432428</v>
      </c>
      <c r="F131" s="211"/>
      <c r="G131" s="212">
        <v>4.2198773448773448</v>
      </c>
      <c r="H131" s="212">
        <v>0.9778360459295149</v>
      </c>
      <c r="I131" s="202">
        <v>23395</v>
      </c>
      <c r="J131" s="202">
        <v>111099.3322007722</v>
      </c>
      <c r="K131" s="204">
        <v>1.3683859209960502E-2</v>
      </c>
      <c r="L131" s="202">
        <v>243</v>
      </c>
      <c r="M131" s="202">
        <v>53</v>
      </c>
      <c r="N131" s="210">
        <v>0.21810699588477367</v>
      </c>
      <c r="O131" s="211"/>
      <c r="P131" s="212">
        <v>4.209635416666667</v>
      </c>
      <c r="Q131" s="212">
        <v>0.99820718060547264</v>
      </c>
      <c r="R131" s="202">
        <v>2677.328125</v>
      </c>
      <c r="S131" s="202">
        <v>6456.7332783289239</v>
      </c>
      <c r="T131" s="204">
        <v>1.2851353245435774E-2</v>
      </c>
      <c r="U131" s="202">
        <v>983</v>
      </c>
      <c r="V131" s="202">
        <v>515</v>
      </c>
      <c r="W131" s="210">
        <v>0.52390640895218721</v>
      </c>
      <c r="X131" s="211"/>
      <c r="Y131" s="212">
        <v>4.2186311787072244</v>
      </c>
      <c r="Z131" s="212">
        <v>0.98034299995342034</v>
      </c>
      <c r="AA131" s="202">
        <v>36126.559969049798</v>
      </c>
      <c r="AB131" s="202">
        <v>117556.06547910112</v>
      </c>
      <c r="AC131" s="204">
        <v>1.3635344614376243E-2</v>
      </c>
    </row>
    <row r="132" spans="1:29" ht="14.45" customHeight="1" x14ac:dyDescent="0.25">
      <c r="A132" s="205" t="s">
        <v>360</v>
      </c>
      <c r="B132" s="119" t="e">
        <f>VLOOKUP(A132,#REF!,2,FALSE)</f>
        <v>#REF!</v>
      </c>
      <c r="C132" s="202">
        <v>1100</v>
      </c>
      <c r="D132" s="202">
        <v>758</v>
      </c>
      <c r="E132" s="210">
        <v>0.68909090909090909</v>
      </c>
      <c r="F132" s="211"/>
      <c r="G132" s="212">
        <v>4.269349164467898</v>
      </c>
      <c r="H132" s="212">
        <v>0.9413363778358973</v>
      </c>
      <c r="I132" s="202">
        <v>38834</v>
      </c>
      <c r="J132" s="202">
        <v>169024.12762597401</v>
      </c>
      <c r="K132" s="204">
        <v>2.0818328244678216E-2</v>
      </c>
      <c r="L132" s="202">
        <v>810</v>
      </c>
      <c r="M132" s="202">
        <v>367</v>
      </c>
      <c r="N132" s="210">
        <v>0.45308641975308644</v>
      </c>
      <c r="O132" s="211"/>
      <c r="P132" s="212">
        <v>3.7084468664850134</v>
      </c>
      <c r="Q132" s="212">
        <v>1.3084339857758336</v>
      </c>
      <c r="R132" s="202">
        <v>16332</v>
      </c>
      <c r="S132" s="202">
        <v>31557.917460317462</v>
      </c>
      <c r="T132" s="204">
        <v>6.2812250017211357E-2</v>
      </c>
      <c r="U132" s="202">
        <v>1910</v>
      </c>
      <c r="V132" s="202">
        <v>1125</v>
      </c>
      <c r="W132" s="210">
        <v>0.58900523560209428</v>
      </c>
      <c r="X132" s="211"/>
      <c r="Y132" s="212">
        <v>4.0863703703703704</v>
      </c>
      <c r="Z132" s="212">
        <v>1.1066563636785516</v>
      </c>
      <c r="AA132" s="202">
        <v>63199.723229922995</v>
      </c>
      <c r="AB132" s="202">
        <v>200582.04508629147</v>
      </c>
      <c r="AC132" s="204">
        <v>2.3265539698537809E-2</v>
      </c>
    </row>
    <row r="133" spans="1:29" ht="14.45" customHeight="1" x14ac:dyDescent="0.25">
      <c r="A133" s="205" t="s">
        <v>372</v>
      </c>
      <c r="B133" s="119" t="e">
        <f>VLOOKUP(A133,#REF!,2,FALSE)</f>
        <v>#REF!</v>
      </c>
      <c r="C133" s="202">
        <v>40</v>
      </c>
      <c r="D133" s="202">
        <v>40</v>
      </c>
      <c r="E133" s="210">
        <v>1</v>
      </c>
      <c r="F133" s="211"/>
      <c r="G133" s="212">
        <v>4.458333333333333</v>
      </c>
      <c r="H133" s="212">
        <v>0.79210514173028779</v>
      </c>
      <c r="I133" s="202">
        <v>2140</v>
      </c>
      <c r="J133" s="202">
        <v>6420</v>
      </c>
      <c r="K133" s="204">
        <v>7.9073721135594556E-4</v>
      </c>
      <c r="L133" s="211"/>
      <c r="M133" s="211"/>
      <c r="N133" s="211"/>
      <c r="O133" s="211"/>
      <c r="P133" s="211"/>
      <c r="Q133" s="211"/>
      <c r="R133" s="211"/>
      <c r="S133" s="211"/>
      <c r="T133" s="211"/>
      <c r="U133" s="202">
        <v>40</v>
      </c>
      <c r="V133" s="202">
        <v>40</v>
      </c>
      <c r="W133" s="210">
        <v>1</v>
      </c>
      <c r="X133" s="211"/>
      <c r="Y133" s="212">
        <v>4.458333333333333</v>
      </c>
      <c r="Z133" s="212">
        <v>0.79210514173028779</v>
      </c>
      <c r="AA133" s="202">
        <v>2140</v>
      </c>
      <c r="AB133" s="202">
        <v>6420</v>
      </c>
      <c r="AC133" s="204">
        <v>7.4465670544118356E-4</v>
      </c>
    </row>
    <row r="134" spans="1:29" ht="14.45" customHeight="1" x14ac:dyDescent="0.25">
      <c r="A134" s="205" t="s">
        <v>303</v>
      </c>
      <c r="B134" s="119" t="e">
        <f>VLOOKUP(A134,#REF!,2,FALSE)</f>
        <v>#REF!</v>
      </c>
      <c r="C134" s="202">
        <v>113</v>
      </c>
      <c r="D134" s="202">
        <v>40</v>
      </c>
      <c r="E134" s="210">
        <v>0.35398230088495575</v>
      </c>
      <c r="F134" s="211"/>
      <c r="G134" s="212">
        <v>4.4020833333333336</v>
      </c>
      <c r="H134" s="212">
        <v>0.75746000536148483</v>
      </c>
      <c r="I134" s="202">
        <v>2113</v>
      </c>
      <c r="J134" s="202">
        <v>13530.262922882426</v>
      </c>
      <c r="K134" s="204">
        <v>1.6664925813945164E-3</v>
      </c>
      <c r="L134" s="202">
        <v>6</v>
      </c>
      <c r="M134" s="202">
        <v>4</v>
      </c>
      <c r="N134" s="210">
        <v>0.66666666666666663</v>
      </c>
      <c r="O134" s="211"/>
      <c r="P134" s="212">
        <v>4.854166666666667</v>
      </c>
      <c r="Q134" s="212">
        <v>0.40771637064126542</v>
      </c>
      <c r="R134" s="202">
        <v>233</v>
      </c>
      <c r="S134" s="202">
        <v>348.70114285714288</v>
      </c>
      <c r="T134" s="204">
        <v>6.9404780572012619E-4</v>
      </c>
      <c r="U134" s="202">
        <v>119</v>
      </c>
      <c r="V134" s="202">
        <v>44</v>
      </c>
      <c r="W134" s="210">
        <v>0.36974789915966388</v>
      </c>
      <c r="X134" s="211"/>
      <c r="Y134" s="212">
        <v>4.4431818181818183</v>
      </c>
      <c r="Z134" s="212">
        <v>0.74403620613049348</v>
      </c>
      <c r="AA134" s="202">
        <v>3989.6047904191614</v>
      </c>
      <c r="AB134" s="202">
        <v>13878.964065739568</v>
      </c>
      <c r="AC134" s="204">
        <v>1.6098229993972274E-3</v>
      </c>
    </row>
    <row r="135" spans="1:29" ht="14.45" customHeight="1" x14ac:dyDescent="0.25">
      <c r="A135" s="205" t="s">
        <v>359</v>
      </c>
      <c r="B135" s="119" t="e">
        <f>VLOOKUP(A135,#REF!,2,FALSE)</f>
        <v>#REF!</v>
      </c>
      <c r="C135" s="202">
        <v>222</v>
      </c>
      <c r="D135" s="202">
        <v>124</v>
      </c>
      <c r="E135" s="210">
        <v>0.55855855855855852</v>
      </c>
      <c r="F135" s="211"/>
      <c r="G135" s="212">
        <v>4.1928763440860219</v>
      </c>
      <c r="H135" s="212">
        <v>0.94600336775615457</v>
      </c>
      <c r="I135" s="202">
        <v>6239</v>
      </c>
      <c r="J135" s="202">
        <v>32139.184725868727</v>
      </c>
      <c r="K135" s="204">
        <v>3.9585123528640244E-3</v>
      </c>
      <c r="L135" s="202">
        <v>34</v>
      </c>
      <c r="M135" s="202">
        <v>15</v>
      </c>
      <c r="N135" s="210">
        <v>0.44117647058823528</v>
      </c>
      <c r="O135" s="211"/>
      <c r="P135" s="212">
        <v>4.1500000000000004</v>
      </c>
      <c r="Q135" s="212">
        <v>0.92781104398111602</v>
      </c>
      <c r="R135" s="202">
        <v>747</v>
      </c>
      <c r="S135" s="202">
        <v>1461.5588571428571</v>
      </c>
      <c r="T135" s="204">
        <v>2.9090576228664525E-3</v>
      </c>
      <c r="U135" s="202">
        <v>256</v>
      </c>
      <c r="V135" s="202">
        <v>139</v>
      </c>
      <c r="W135" s="210">
        <v>0.54296875</v>
      </c>
      <c r="X135" s="211"/>
      <c r="Y135" s="212">
        <v>4.1882494004796165</v>
      </c>
      <c r="Z135" s="212">
        <v>0.94415076995600211</v>
      </c>
      <c r="AA135" s="202">
        <v>11527.558734371727</v>
      </c>
      <c r="AB135" s="202">
        <v>33600.743583011586</v>
      </c>
      <c r="AC135" s="204">
        <v>3.8973549870559808E-3</v>
      </c>
    </row>
    <row r="136" spans="1:29" ht="14.45" customHeight="1" x14ac:dyDescent="0.25">
      <c r="A136" s="205" t="s">
        <v>290</v>
      </c>
      <c r="B136" s="119" t="e">
        <f>VLOOKUP(A136,#REF!,2,FALSE)</f>
        <v>#REF!</v>
      </c>
      <c r="C136" s="202">
        <v>573</v>
      </c>
      <c r="D136" s="202">
        <v>534</v>
      </c>
      <c r="E136" s="210">
        <v>0.93193717277486909</v>
      </c>
      <c r="F136" s="211"/>
      <c r="G136" s="212">
        <v>4.3636504975124382</v>
      </c>
      <c r="H136" s="212">
        <v>0.86534487257669512</v>
      </c>
      <c r="I136" s="202">
        <v>27962.272388059704</v>
      </c>
      <c r="J136" s="202">
        <v>90013.382462686568</v>
      </c>
      <c r="K136" s="204">
        <v>1.1086749382127874E-2</v>
      </c>
      <c r="L136" s="202">
        <v>44</v>
      </c>
      <c r="M136" s="202">
        <v>37</v>
      </c>
      <c r="N136" s="210">
        <v>0.84090909090909094</v>
      </c>
      <c r="O136" s="211"/>
      <c r="P136" s="212">
        <v>4.0460526315789478</v>
      </c>
      <c r="Q136" s="212">
        <v>1.1062352137349025</v>
      </c>
      <c r="R136" s="202">
        <v>1796.4473684210527</v>
      </c>
      <c r="S136" s="202">
        <v>2136.3157894736846</v>
      </c>
      <c r="T136" s="204">
        <v>4.2520803742157791E-3</v>
      </c>
      <c r="U136" s="202">
        <v>617</v>
      </c>
      <c r="V136" s="202">
        <v>571</v>
      </c>
      <c r="W136" s="210">
        <v>0.92544570502431123</v>
      </c>
      <c r="X136" s="211"/>
      <c r="Y136" s="212">
        <v>4.3426248548199764</v>
      </c>
      <c r="Z136" s="212">
        <v>0.88684780739545521</v>
      </c>
      <c r="AA136" s="202">
        <v>51851.150049676056</v>
      </c>
      <c r="AB136" s="202">
        <v>92149.698252160248</v>
      </c>
      <c r="AC136" s="204">
        <v>1.0688456496550286E-2</v>
      </c>
    </row>
    <row r="137" spans="1:29" ht="14.45" customHeight="1" x14ac:dyDescent="0.25">
      <c r="A137" s="205" t="s">
        <v>267</v>
      </c>
      <c r="B137" s="119" t="e">
        <f>VLOOKUP(A137,#REF!,2,FALSE)</f>
        <v>#REF!</v>
      </c>
      <c r="C137" s="202">
        <v>812</v>
      </c>
      <c r="D137" s="202">
        <v>340</v>
      </c>
      <c r="E137" s="210">
        <v>0.41871921182266009</v>
      </c>
      <c r="F137" s="211"/>
      <c r="G137" s="212">
        <v>4.2208333333333332</v>
      </c>
      <c r="H137" s="212">
        <v>1.0116998371342751</v>
      </c>
      <c r="I137" s="202">
        <v>17221</v>
      </c>
      <c r="J137" s="202">
        <v>103449.17680788178</v>
      </c>
      <c r="K137" s="204">
        <v>1.2741606477590749E-2</v>
      </c>
      <c r="L137" s="202">
        <v>134</v>
      </c>
      <c r="M137" s="202">
        <v>62</v>
      </c>
      <c r="N137" s="210">
        <v>0.46268656716417911</v>
      </c>
      <c r="O137" s="211"/>
      <c r="P137" s="212">
        <v>4.110215053763441</v>
      </c>
      <c r="Q137" s="212">
        <v>1.1470874557640469</v>
      </c>
      <c r="R137" s="202">
        <v>3058</v>
      </c>
      <c r="S137" s="202">
        <v>5849.0085628997867</v>
      </c>
      <c r="T137" s="204">
        <v>1.1641750082769107E-2</v>
      </c>
      <c r="U137" s="202">
        <v>946</v>
      </c>
      <c r="V137" s="202">
        <v>402</v>
      </c>
      <c r="W137" s="210">
        <v>0.42494714587737842</v>
      </c>
      <c r="X137" s="211"/>
      <c r="Y137" s="212">
        <v>4.2037728026533996</v>
      </c>
      <c r="Z137" s="212">
        <v>1.0345093748038985</v>
      </c>
      <c r="AA137" s="202">
        <v>29602.292677884816</v>
      </c>
      <c r="AB137" s="202">
        <v>109298.18537078158</v>
      </c>
      <c r="AC137" s="204">
        <v>1.2677511935966662E-2</v>
      </c>
    </row>
    <row r="138" spans="1:29" ht="14.45" customHeight="1" x14ac:dyDescent="0.25">
      <c r="A138" s="205" t="s">
        <v>384</v>
      </c>
      <c r="B138" s="119" t="e">
        <f>VLOOKUP(A138,#REF!,2,FALSE)</f>
        <v>#REF!</v>
      </c>
      <c r="C138" s="202">
        <v>183</v>
      </c>
      <c r="D138" s="202">
        <v>182</v>
      </c>
      <c r="E138" s="210">
        <v>0.99453551912568305</v>
      </c>
      <c r="F138" s="211"/>
      <c r="G138" s="212">
        <v>4.3264652014652016</v>
      </c>
      <c r="H138" s="212">
        <v>0.89826611351749353</v>
      </c>
      <c r="I138" s="202">
        <v>9449</v>
      </c>
      <c r="J138" s="202">
        <v>28502.752747252747</v>
      </c>
      <c r="K138" s="204">
        <v>3.5106210628240895E-3</v>
      </c>
      <c r="L138" s="202">
        <v>29</v>
      </c>
      <c r="M138" s="202">
        <v>6</v>
      </c>
      <c r="N138" s="210">
        <v>0.20689655172413793</v>
      </c>
      <c r="O138" s="211"/>
      <c r="P138" s="212">
        <v>4.5555555555555554</v>
      </c>
      <c r="Q138" s="212">
        <v>0.74328267556998251</v>
      </c>
      <c r="R138" s="202">
        <v>328</v>
      </c>
      <c r="S138" s="202">
        <v>798.51680788177339</v>
      </c>
      <c r="T138" s="204">
        <v>1.5893519413213814E-3</v>
      </c>
      <c r="U138" s="202">
        <v>212</v>
      </c>
      <c r="V138" s="202">
        <v>188</v>
      </c>
      <c r="W138" s="210">
        <v>0.8867924528301887</v>
      </c>
      <c r="X138" s="211"/>
      <c r="Y138" s="212">
        <v>4.3337765957446805</v>
      </c>
      <c r="Z138" s="212">
        <v>0.89464180780630809</v>
      </c>
      <c r="AA138" s="202">
        <v>17916.462269012736</v>
      </c>
      <c r="AB138" s="202">
        <v>29301.26955513452</v>
      </c>
      <c r="AC138" s="204">
        <v>3.3986583881885552E-3</v>
      </c>
    </row>
    <row r="139" spans="1:29" ht="14.45" customHeight="1" x14ac:dyDescent="0.25">
      <c r="A139" s="205" t="s">
        <v>217</v>
      </c>
      <c r="B139" s="119" t="e">
        <f>VLOOKUP(A139,#REF!,2,FALSE)</f>
        <v>#REF!</v>
      </c>
      <c r="C139" s="202">
        <v>1097</v>
      </c>
      <c r="D139" s="202">
        <v>830</v>
      </c>
      <c r="E139" s="210">
        <v>0.7566089334548769</v>
      </c>
      <c r="F139" s="211"/>
      <c r="G139" s="212">
        <v>4.294277108433735</v>
      </c>
      <c r="H139" s="212">
        <v>0.92946381935178479</v>
      </c>
      <c r="I139" s="202">
        <v>42771</v>
      </c>
      <c r="J139" s="202">
        <v>169589.59156626507</v>
      </c>
      <c r="K139" s="204">
        <v>2.0887975188489446E-2</v>
      </c>
      <c r="L139" s="202">
        <v>608</v>
      </c>
      <c r="M139" s="202">
        <v>439</v>
      </c>
      <c r="N139" s="210">
        <v>0.72203947368421051</v>
      </c>
      <c r="O139" s="211"/>
      <c r="P139" s="212">
        <v>4.2649962034927871</v>
      </c>
      <c r="Q139" s="212">
        <v>0.9728728816619393</v>
      </c>
      <c r="R139" s="202">
        <v>22468</v>
      </c>
      <c r="S139" s="202">
        <v>31117.412300683369</v>
      </c>
      <c r="T139" s="204">
        <v>6.1935477325996829E-2</v>
      </c>
      <c r="U139" s="202">
        <v>1705</v>
      </c>
      <c r="V139" s="202">
        <v>1269</v>
      </c>
      <c r="W139" s="210">
        <v>0.7442815249266862</v>
      </c>
      <c r="X139" s="211"/>
      <c r="Y139" s="212">
        <v>4.2841476228001047</v>
      </c>
      <c r="Z139" s="212">
        <v>0.94480917849913149</v>
      </c>
      <c r="AA139" s="202">
        <v>71785.681836386182</v>
      </c>
      <c r="AB139" s="202">
        <v>200707.00386694842</v>
      </c>
      <c r="AC139" s="204">
        <v>2.3280033685129702E-2</v>
      </c>
    </row>
    <row r="140" spans="1:29" ht="14.45" customHeight="1" x14ac:dyDescent="0.25">
      <c r="A140" s="205" t="s">
        <v>446</v>
      </c>
      <c r="B140" s="119" t="e">
        <f>VLOOKUP(A140,#REF!,2,FALSE)</f>
        <v>#REF!</v>
      </c>
      <c r="C140" s="202">
        <v>47</v>
      </c>
      <c r="D140" s="202">
        <v>28</v>
      </c>
      <c r="E140" s="210">
        <v>0.5957446808510638</v>
      </c>
      <c r="F140" s="211"/>
      <c r="G140" s="212">
        <v>4.4047619047619051</v>
      </c>
      <c r="H140" s="212">
        <v>0.78101045080269882</v>
      </c>
      <c r="I140" s="202">
        <v>1480</v>
      </c>
      <c r="J140" s="202">
        <v>7287.1601215805476</v>
      </c>
      <c r="K140" s="204">
        <v>8.9754340704717385E-4</v>
      </c>
      <c r="L140" s="202">
        <v>2</v>
      </c>
      <c r="M140" s="202">
        <v>1</v>
      </c>
      <c r="N140" s="210">
        <v>0.5</v>
      </c>
      <c r="O140" s="211"/>
      <c r="P140" s="212">
        <v>3.9166666666666665</v>
      </c>
      <c r="Q140" s="212">
        <v>0.49300664859163629</v>
      </c>
      <c r="R140" s="202">
        <v>47</v>
      </c>
      <c r="S140" s="202">
        <v>86.318857142857141</v>
      </c>
      <c r="T140" s="204">
        <v>1.7180733306862989E-4</v>
      </c>
      <c r="U140" s="202">
        <v>49</v>
      </c>
      <c r="V140" s="202">
        <v>29</v>
      </c>
      <c r="W140" s="210">
        <v>0.59183673469387754</v>
      </c>
      <c r="X140" s="211"/>
      <c r="Y140" s="212">
        <v>4.3879310344827589</v>
      </c>
      <c r="Z140" s="212">
        <v>0.77798241556086523</v>
      </c>
      <c r="AA140" s="202">
        <v>2850.6420927467302</v>
      </c>
      <c r="AB140" s="202">
        <v>7373.4789787234049</v>
      </c>
      <c r="AC140" s="204">
        <v>8.5525086665669671E-4</v>
      </c>
    </row>
    <row r="141" spans="1:29" ht="14.45" customHeight="1" x14ac:dyDescent="0.25">
      <c r="A141" s="205" t="s">
        <v>444</v>
      </c>
      <c r="B141" s="119" t="e">
        <f>VLOOKUP(A141,#REF!,2,FALSE)</f>
        <v>#REF!</v>
      </c>
      <c r="C141" s="202">
        <v>1889</v>
      </c>
      <c r="D141" s="202">
        <v>426</v>
      </c>
      <c r="E141" s="210">
        <v>0.22551614610905241</v>
      </c>
      <c r="F141" s="211"/>
      <c r="G141" s="212">
        <v>4.2468847352024923</v>
      </c>
      <c r="H141" s="212">
        <v>0.94070197281992318</v>
      </c>
      <c r="I141" s="202">
        <v>21710.074766355141</v>
      </c>
      <c r="J141" s="202">
        <v>156085.78682370635</v>
      </c>
      <c r="K141" s="204">
        <v>1.9224741402690992E-2</v>
      </c>
      <c r="L141" s="202">
        <v>625</v>
      </c>
      <c r="M141" s="202">
        <v>410</v>
      </c>
      <c r="N141" s="210">
        <v>0.65600000000000003</v>
      </c>
      <c r="O141" s="211"/>
      <c r="P141" s="212">
        <v>3.9414634146341463</v>
      </c>
      <c r="Q141" s="212">
        <v>1.1660109769015927</v>
      </c>
      <c r="R141" s="202">
        <v>19392</v>
      </c>
      <c r="S141" s="202">
        <v>29443.48306285714</v>
      </c>
      <c r="T141" s="204">
        <v>5.8603721929599915E-2</v>
      </c>
      <c r="U141" s="202">
        <v>2514</v>
      </c>
      <c r="V141" s="202">
        <v>836</v>
      </c>
      <c r="W141" s="210">
        <v>0.33253778838504378</v>
      </c>
      <c r="X141" s="211"/>
      <c r="Y141" s="212">
        <v>4.0974542561654737</v>
      </c>
      <c r="Z141" s="212">
        <v>1.0679245716378176</v>
      </c>
      <c r="AA141" s="202">
        <v>41434.147535904202</v>
      </c>
      <c r="AB141" s="202">
        <v>185529.2698865635</v>
      </c>
      <c r="AC141" s="204">
        <v>2.1519566180161459E-2</v>
      </c>
    </row>
    <row r="142" spans="1:29" x14ac:dyDescent="0.25">
      <c r="A142" s="206" t="s">
        <v>16</v>
      </c>
      <c r="B142" s="206"/>
      <c r="C142" s="207">
        <v>60503</v>
      </c>
      <c r="D142" s="207">
        <v>32769</v>
      </c>
      <c r="E142" s="213">
        <v>0.54160950696659671</v>
      </c>
      <c r="F142" s="214"/>
      <c r="G142" s="215">
        <v>4.2299393884566676</v>
      </c>
      <c r="H142" s="215">
        <v>0.95431558305305864</v>
      </c>
      <c r="I142" s="207">
        <v>1663233.705889143</v>
      </c>
      <c r="J142" s="207">
        <v>8119005.7933293283</v>
      </c>
      <c r="K142" s="209">
        <v>1</v>
      </c>
      <c r="L142" s="207">
        <v>12856</v>
      </c>
      <c r="M142" s="207">
        <v>5789</v>
      </c>
      <c r="N142" s="213">
        <v>0.45029558182949597</v>
      </c>
      <c r="O142" s="214"/>
      <c r="P142" s="215">
        <v>4.1078856398050547</v>
      </c>
      <c r="Q142" s="215">
        <v>1.0807492624196537</v>
      </c>
      <c r="R142" s="207">
        <v>285415.64038128755</v>
      </c>
      <c r="S142" s="207">
        <v>502416.6058638274</v>
      </c>
      <c r="T142" s="209">
        <v>1</v>
      </c>
      <c r="U142" s="207">
        <v>73359</v>
      </c>
      <c r="V142" s="207">
        <v>38558</v>
      </c>
      <c r="W142" s="213">
        <v>0.52560694665957819</v>
      </c>
      <c r="X142" s="214"/>
      <c r="Y142" s="215">
        <v>4.2115519243246933</v>
      </c>
      <c r="Z142" s="215">
        <v>0.97539063409258919</v>
      </c>
      <c r="AA142" s="207">
        <v>2927883.3370538778</v>
      </c>
      <c r="AB142" s="207">
        <v>8621422.3991931565</v>
      </c>
      <c r="AC142" s="209">
        <v>1</v>
      </c>
    </row>
    <row r="144" spans="1:29" x14ac:dyDescent="0.25">
      <c r="A144" t="s">
        <v>515</v>
      </c>
    </row>
    <row r="145" spans="1:1" x14ac:dyDescent="0.25">
      <c r="A145" s="177" t="s">
        <v>520</v>
      </c>
    </row>
  </sheetData>
  <mergeCells count="11">
    <mergeCell ref="AB4:AB5"/>
    <mergeCell ref="AC4:AC5"/>
    <mergeCell ref="C4:K4"/>
    <mergeCell ref="L4:T4"/>
    <mergeCell ref="U4:U5"/>
    <mergeCell ref="V4:V5"/>
    <mergeCell ref="X4:X5"/>
    <mergeCell ref="W4:W5"/>
    <mergeCell ref="Y4:Y5"/>
    <mergeCell ref="Z4:Z5"/>
    <mergeCell ref="AA4:AA5"/>
  </mergeCells>
  <hyperlinks>
    <hyperlink ref="A145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ul22">
    <tabColor theme="0" tint="-4.9989318521683403E-2"/>
  </sheetPr>
  <dimension ref="A1:R169"/>
  <sheetViews>
    <sheetView zoomScale="90" zoomScaleNormal="90" workbookViewId="0">
      <pane xSplit="2" ySplit="3" topLeftCell="D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1" width="11" style="51" bestFit="1" customWidth="1"/>
    <col min="2" max="2" width="46" style="51" customWidth="1"/>
    <col min="3" max="16" width="14.85546875" style="51" customWidth="1"/>
    <col min="17" max="17" width="13.7109375" style="51" customWidth="1"/>
    <col min="18" max="18" width="11" style="51" customWidth="1"/>
    <col min="19" max="16384" width="9.140625" style="51"/>
  </cols>
  <sheetData>
    <row r="1" spans="1:18" ht="15.75" x14ac:dyDescent="0.25">
      <c r="A1" s="131" t="s">
        <v>455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x14ac:dyDescent="0.25">
      <c r="A2" s="106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ht="95.25" customHeight="1" x14ac:dyDescent="0.25">
      <c r="A3" s="147" t="s">
        <v>389</v>
      </c>
      <c r="B3" s="148" t="s">
        <v>0</v>
      </c>
      <c r="C3" s="148" t="s">
        <v>456</v>
      </c>
      <c r="D3" s="149" t="s">
        <v>185</v>
      </c>
      <c r="E3" s="149" t="s">
        <v>186</v>
      </c>
      <c r="F3" s="149" t="s">
        <v>187</v>
      </c>
      <c r="G3" s="149" t="s">
        <v>188</v>
      </c>
      <c r="H3" s="149" t="s">
        <v>189</v>
      </c>
      <c r="I3" s="149" t="s">
        <v>190</v>
      </c>
      <c r="J3" s="149" t="s">
        <v>191</v>
      </c>
      <c r="K3" s="149" t="s">
        <v>457</v>
      </c>
      <c r="L3" s="149" t="s">
        <v>192</v>
      </c>
      <c r="M3" s="149" t="s">
        <v>193</v>
      </c>
      <c r="N3" s="149" t="s">
        <v>194</v>
      </c>
      <c r="O3" s="149" t="s">
        <v>458</v>
      </c>
      <c r="P3" s="149" t="s">
        <v>195</v>
      </c>
      <c r="Q3" s="149" t="s">
        <v>196</v>
      </c>
      <c r="R3" s="150" t="s">
        <v>197</v>
      </c>
    </row>
    <row r="4" spans="1:18" x14ac:dyDescent="0.25">
      <c r="A4" s="61" t="s">
        <v>387</v>
      </c>
      <c r="B4" t="s">
        <v>171</v>
      </c>
      <c r="C4" t="s">
        <v>216</v>
      </c>
      <c r="D4" s="146">
        <v>0</v>
      </c>
      <c r="E4" s="146">
        <v>50</v>
      </c>
      <c r="F4" s="146">
        <v>50</v>
      </c>
      <c r="G4" s="146">
        <v>0</v>
      </c>
      <c r="H4" s="151">
        <v>0.315</v>
      </c>
      <c r="I4" s="143">
        <v>15.8</v>
      </c>
      <c r="J4" s="146">
        <v>0</v>
      </c>
      <c r="K4" s="146">
        <v>129172</v>
      </c>
      <c r="L4" s="146">
        <v>352500</v>
      </c>
      <c r="M4" s="146">
        <v>481672</v>
      </c>
      <c r="N4" s="146">
        <v>0</v>
      </c>
      <c r="O4" s="143">
        <v>0</v>
      </c>
      <c r="P4" s="146">
        <v>0</v>
      </c>
      <c r="Q4" s="146">
        <v>481672</v>
      </c>
      <c r="R4" s="146">
        <v>26951</v>
      </c>
    </row>
    <row r="5" spans="1:18" x14ac:dyDescent="0.25">
      <c r="A5" s="61" t="s">
        <v>386</v>
      </c>
      <c r="B5" t="s">
        <v>18</v>
      </c>
      <c r="C5" t="s">
        <v>227</v>
      </c>
      <c r="D5" s="146">
        <v>329</v>
      </c>
      <c r="E5" s="146">
        <v>0</v>
      </c>
      <c r="F5" s="146">
        <v>329</v>
      </c>
      <c r="G5" s="146">
        <v>0</v>
      </c>
      <c r="H5" s="151">
        <v>1.1223819660000001</v>
      </c>
      <c r="I5" s="143">
        <v>369.3</v>
      </c>
      <c r="J5" s="146">
        <v>0</v>
      </c>
      <c r="K5" s="146">
        <v>3019202</v>
      </c>
      <c r="L5" s="146">
        <v>0</v>
      </c>
      <c r="M5" s="146">
        <v>3019202</v>
      </c>
      <c r="N5" s="146">
        <v>171</v>
      </c>
      <c r="O5" s="143">
        <v>10772.9</v>
      </c>
      <c r="P5" s="146">
        <v>258726</v>
      </c>
      <c r="Q5" s="146">
        <v>3277928</v>
      </c>
      <c r="R5" s="146">
        <v>168931</v>
      </c>
    </row>
    <row r="6" spans="1:18" x14ac:dyDescent="0.25">
      <c r="A6" s="61" t="s">
        <v>383</v>
      </c>
      <c r="B6" t="s">
        <v>181</v>
      </c>
      <c r="C6" t="s">
        <v>216</v>
      </c>
      <c r="D6" s="146">
        <v>20</v>
      </c>
      <c r="E6" s="146">
        <v>0</v>
      </c>
      <c r="F6" s="146">
        <v>20</v>
      </c>
      <c r="G6" s="146">
        <v>0</v>
      </c>
      <c r="H6" s="151">
        <v>0.64306122399999999</v>
      </c>
      <c r="I6" s="143">
        <v>12.9</v>
      </c>
      <c r="J6" s="146">
        <v>0</v>
      </c>
      <c r="K6" s="146">
        <v>105464</v>
      </c>
      <c r="L6" s="146">
        <v>1400000</v>
      </c>
      <c r="M6" s="146">
        <v>1505464</v>
      </c>
      <c r="N6" s="146">
        <v>0</v>
      </c>
      <c r="O6" s="143">
        <v>0</v>
      </c>
      <c r="P6" s="146">
        <v>0</v>
      </c>
      <c r="Q6" s="146">
        <v>1505464</v>
      </c>
      <c r="R6" s="146">
        <v>84234</v>
      </c>
    </row>
    <row r="7" spans="1:18" x14ac:dyDescent="0.25">
      <c r="A7" s="61" t="s">
        <v>385</v>
      </c>
      <c r="B7" t="s">
        <v>19</v>
      </c>
      <c r="C7" t="s">
        <v>227</v>
      </c>
      <c r="D7" s="146">
        <v>79</v>
      </c>
      <c r="E7" s="146">
        <v>5</v>
      </c>
      <c r="F7" s="146">
        <v>84</v>
      </c>
      <c r="G7" s="146">
        <v>0</v>
      </c>
      <c r="H7" s="151">
        <v>4.3422609469999998</v>
      </c>
      <c r="I7" s="143">
        <v>364.7</v>
      </c>
      <c r="J7" s="146">
        <v>0</v>
      </c>
      <c r="K7" s="146">
        <v>2981595</v>
      </c>
      <c r="L7" s="146">
        <v>0</v>
      </c>
      <c r="M7" s="146">
        <v>2981595</v>
      </c>
      <c r="N7" s="146">
        <v>16</v>
      </c>
      <c r="O7" s="143">
        <v>1192.3</v>
      </c>
      <c r="P7" s="146">
        <v>28635</v>
      </c>
      <c r="Q7" s="146">
        <v>3010230</v>
      </c>
      <c r="R7" s="146">
        <v>166827</v>
      </c>
    </row>
    <row r="8" spans="1:18" x14ac:dyDescent="0.25">
      <c r="A8" s="61" t="s">
        <v>449</v>
      </c>
      <c r="B8" t="s">
        <v>20</v>
      </c>
      <c r="C8" t="s">
        <v>216</v>
      </c>
      <c r="D8" s="146">
        <v>1666</v>
      </c>
      <c r="E8" s="146">
        <v>965</v>
      </c>
      <c r="F8" s="146">
        <v>2631</v>
      </c>
      <c r="G8" s="146">
        <v>580</v>
      </c>
      <c r="H8" s="151">
        <v>0.81467007599999997</v>
      </c>
      <c r="I8" s="143">
        <v>2143.4</v>
      </c>
      <c r="J8" s="146">
        <v>0</v>
      </c>
      <c r="K8" s="146">
        <v>17523307</v>
      </c>
      <c r="L8" s="146">
        <v>0</v>
      </c>
      <c r="M8" s="146">
        <v>17523307</v>
      </c>
      <c r="N8" s="146">
        <v>1671</v>
      </c>
      <c r="O8" s="143">
        <v>50039.1</v>
      </c>
      <c r="P8" s="146">
        <v>1201757</v>
      </c>
      <c r="Q8" s="146">
        <v>18725064</v>
      </c>
      <c r="R8" s="146">
        <v>980469</v>
      </c>
    </row>
    <row r="9" spans="1:18" x14ac:dyDescent="0.25">
      <c r="A9" s="61" t="s">
        <v>448</v>
      </c>
      <c r="B9" t="s">
        <v>21</v>
      </c>
      <c r="C9" t="s">
        <v>216</v>
      </c>
      <c r="D9" s="146">
        <v>818</v>
      </c>
      <c r="E9" s="146">
        <v>207</v>
      </c>
      <c r="F9" s="146">
        <v>1025</v>
      </c>
      <c r="G9" s="146">
        <v>0</v>
      </c>
      <c r="H9" s="151">
        <v>0.76111524100000005</v>
      </c>
      <c r="I9" s="143">
        <v>780.1</v>
      </c>
      <c r="J9" s="146">
        <v>0</v>
      </c>
      <c r="K9" s="146">
        <v>6377686</v>
      </c>
      <c r="L9" s="146">
        <v>0</v>
      </c>
      <c r="M9" s="146">
        <v>6377686</v>
      </c>
      <c r="N9" s="146">
        <v>631</v>
      </c>
      <c r="O9" s="143">
        <v>13497</v>
      </c>
      <c r="P9" s="146">
        <v>324149</v>
      </c>
      <c r="Q9" s="146">
        <v>6701835</v>
      </c>
      <c r="R9" s="146">
        <v>356846</v>
      </c>
    </row>
    <row r="10" spans="1:18" x14ac:dyDescent="0.25">
      <c r="A10" s="61" t="s">
        <v>384</v>
      </c>
      <c r="B10" t="s">
        <v>22</v>
      </c>
      <c r="C10" t="s">
        <v>216</v>
      </c>
      <c r="D10" s="146">
        <v>986</v>
      </c>
      <c r="E10" s="146">
        <v>120</v>
      </c>
      <c r="F10" s="146">
        <v>1106</v>
      </c>
      <c r="G10" s="146">
        <v>0</v>
      </c>
      <c r="H10" s="151">
        <v>3.9528091380000001</v>
      </c>
      <c r="I10" s="143">
        <v>4371.8</v>
      </c>
      <c r="J10" s="146">
        <v>0</v>
      </c>
      <c r="K10" s="146">
        <v>35741529</v>
      </c>
      <c r="L10" s="146">
        <v>0</v>
      </c>
      <c r="M10" s="146">
        <v>35741529</v>
      </c>
      <c r="N10" s="146">
        <v>221</v>
      </c>
      <c r="O10" s="143">
        <v>14916.3</v>
      </c>
      <c r="P10" s="146">
        <v>358235</v>
      </c>
      <c r="Q10" s="146">
        <v>36099764</v>
      </c>
      <c r="R10" s="146">
        <v>1999820</v>
      </c>
    </row>
    <row r="11" spans="1:18" x14ac:dyDescent="0.25">
      <c r="A11" s="61" t="s">
        <v>382</v>
      </c>
      <c r="B11" t="s">
        <v>198</v>
      </c>
      <c r="C11" t="s">
        <v>216</v>
      </c>
      <c r="D11" s="146">
        <v>68</v>
      </c>
      <c r="E11" s="146">
        <v>4</v>
      </c>
      <c r="F11" s="146">
        <v>72</v>
      </c>
      <c r="G11" s="146">
        <v>0</v>
      </c>
      <c r="H11" s="151">
        <v>0.59584580399999998</v>
      </c>
      <c r="I11" s="143">
        <v>42.9</v>
      </c>
      <c r="J11" s="146">
        <v>0</v>
      </c>
      <c r="K11" s="146">
        <v>350728</v>
      </c>
      <c r="L11" s="146">
        <v>0</v>
      </c>
      <c r="M11" s="146">
        <v>350728</v>
      </c>
      <c r="N11" s="146">
        <v>127</v>
      </c>
      <c r="O11" s="143">
        <v>1591.4</v>
      </c>
      <c r="P11" s="146">
        <v>38220</v>
      </c>
      <c r="Q11" s="146">
        <v>388948</v>
      </c>
      <c r="R11" s="146">
        <v>19624</v>
      </c>
    </row>
    <row r="12" spans="1:18" x14ac:dyDescent="0.25">
      <c r="A12" s="61" t="s">
        <v>381</v>
      </c>
      <c r="B12" t="s">
        <v>23</v>
      </c>
      <c r="C12" t="s">
        <v>216</v>
      </c>
      <c r="D12" s="146">
        <v>1592</v>
      </c>
      <c r="E12" s="146">
        <v>139</v>
      </c>
      <c r="F12" s="146">
        <v>1731</v>
      </c>
      <c r="G12" s="146">
        <v>30</v>
      </c>
      <c r="H12" s="151">
        <v>1.053823161</v>
      </c>
      <c r="I12" s="143">
        <v>1824.2</v>
      </c>
      <c r="J12" s="146">
        <v>0</v>
      </c>
      <c r="K12" s="146">
        <v>14913696</v>
      </c>
      <c r="L12" s="146">
        <v>0</v>
      </c>
      <c r="M12" s="146">
        <v>14913696</v>
      </c>
      <c r="N12" s="146">
        <v>737</v>
      </c>
      <c r="O12" s="143">
        <v>34475.5</v>
      </c>
      <c r="P12" s="146">
        <v>827976</v>
      </c>
      <c r="Q12" s="146">
        <v>15741672</v>
      </c>
      <c r="R12" s="146">
        <v>834455</v>
      </c>
    </row>
    <row r="13" spans="1:18" x14ac:dyDescent="0.25">
      <c r="A13" s="61" t="s">
        <v>217</v>
      </c>
      <c r="B13" t="s">
        <v>199</v>
      </c>
      <c r="C13" t="s">
        <v>216</v>
      </c>
      <c r="D13" s="146">
        <v>2494</v>
      </c>
      <c r="E13" s="146">
        <v>410</v>
      </c>
      <c r="F13" s="146">
        <v>2904</v>
      </c>
      <c r="G13" s="146">
        <v>180</v>
      </c>
      <c r="H13" s="151">
        <v>0.92377082799999999</v>
      </c>
      <c r="I13" s="143">
        <v>2682.6</v>
      </c>
      <c r="J13" s="146">
        <v>0</v>
      </c>
      <c r="K13" s="146">
        <v>21931521</v>
      </c>
      <c r="L13" s="146">
        <v>0</v>
      </c>
      <c r="M13" s="146">
        <v>21931521</v>
      </c>
      <c r="N13" s="146">
        <v>1301</v>
      </c>
      <c r="O13" s="143">
        <v>47104.800000000003</v>
      </c>
      <c r="P13" s="146">
        <v>1131285</v>
      </c>
      <c r="Q13" s="146">
        <v>23062806</v>
      </c>
      <c r="R13" s="146">
        <v>1227119</v>
      </c>
    </row>
    <row r="14" spans="1:18" x14ac:dyDescent="0.25">
      <c r="A14" s="61" t="s">
        <v>380</v>
      </c>
      <c r="B14" t="s">
        <v>172</v>
      </c>
      <c r="C14" t="s">
        <v>227</v>
      </c>
      <c r="D14" s="146">
        <v>0</v>
      </c>
      <c r="E14" s="146">
        <v>0</v>
      </c>
      <c r="F14" s="146">
        <v>0</v>
      </c>
      <c r="G14" s="146">
        <v>0</v>
      </c>
      <c r="H14" s="151">
        <v>0.315</v>
      </c>
      <c r="I14" s="143">
        <v>0</v>
      </c>
      <c r="J14" s="146">
        <v>0</v>
      </c>
      <c r="K14" s="146">
        <v>0</v>
      </c>
      <c r="L14" s="146">
        <v>0</v>
      </c>
      <c r="M14" s="146">
        <v>0</v>
      </c>
      <c r="N14" s="146">
        <v>0</v>
      </c>
      <c r="O14" s="143">
        <v>0</v>
      </c>
      <c r="P14" s="146">
        <v>0</v>
      </c>
      <c r="Q14" s="146">
        <v>0</v>
      </c>
      <c r="R14" s="146">
        <v>0</v>
      </c>
    </row>
    <row r="15" spans="1:18" x14ac:dyDescent="0.25">
      <c r="A15" s="61" t="s">
        <v>379</v>
      </c>
      <c r="B15" t="s">
        <v>24</v>
      </c>
      <c r="C15" t="s">
        <v>216</v>
      </c>
      <c r="D15" s="146">
        <v>0</v>
      </c>
      <c r="E15" s="146">
        <v>10</v>
      </c>
      <c r="F15" s="146">
        <v>10</v>
      </c>
      <c r="G15" s="146">
        <v>10</v>
      </c>
      <c r="H15" s="151">
        <v>1</v>
      </c>
      <c r="I15" s="143">
        <v>10</v>
      </c>
      <c r="J15" s="146">
        <v>0</v>
      </c>
      <c r="K15" s="146">
        <v>81755</v>
      </c>
      <c r="L15" s="146">
        <v>0</v>
      </c>
      <c r="M15" s="146">
        <v>81755</v>
      </c>
      <c r="N15" s="146">
        <v>0</v>
      </c>
      <c r="O15" s="143">
        <v>0</v>
      </c>
      <c r="P15" s="146">
        <v>0</v>
      </c>
      <c r="Q15" s="146">
        <v>81755</v>
      </c>
      <c r="R15" s="146">
        <v>4574</v>
      </c>
    </row>
    <row r="16" spans="1:18" x14ac:dyDescent="0.25">
      <c r="A16" s="61" t="s">
        <v>378</v>
      </c>
      <c r="B16" t="s">
        <v>25</v>
      </c>
      <c r="C16" t="s">
        <v>216</v>
      </c>
      <c r="D16" s="146">
        <v>5838</v>
      </c>
      <c r="E16" s="146">
        <v>715</v>
      </c>
      <c r="F16" s="146">
        <v>6553</v>
      </c>
      <c r="G16" s="146">
        <v>200</v>
      </c>
      <c r="H16" s="151">
        <v>0.970835844</v>
      </c>
      <c r="I16" s="143">
        <v>6361.9</v>
      </c>
      <c r="J16" s="146">
        <v>-473805</v>
      </c>
      <c r="K16" s="146">
        <v>51537731</v>
      </c>
      <c r="L16" s="146">
        <v>0</v>
      </c>
      <c r="M16" s="146">
        <v>51537731</v>
      </c>
      <c r="N16" s="146">
        <v>3260</v>
      </c>
      <c r="O16" s="143">
        <v>153237.9</v>
      </c>
      <c r="P16" s="146">
        <v>3680215</v>
      </c>
      <c r="Q16" s="146">
        <v>55217946</v>
      </c>
      <c r="R16" s="146">
        <v>0</v>
      </c>
    </row>
    <row r="17" spans="1:18" x14ac:dyDescent="0.25">
      <c r="A17" s="61" t="s">
        <v>377</v>
      </c>
      <c r="B17" t="s">
        <v>26</v>
      </c>
      <c r="C17" t="s">
        <v>376</v>
      </c>
      <c r="D17" s="146">
        <v>2900</v>
      </c>
      <c r="E17" s="146">
        <v>465</v>
      </c>
      <c r="F17" s="146">
        <v>3365</v>
      </c>
      <c r="G17" s="146">
        <v>216</v>
      </c>
      <c r="H17" s="151">
        <v>0.99855317099999996</v>
      </c>
      <c r="I17" s="143">
        <v>3360.1</v>
      </c>
      <c r="J17" s="146">
        <v>-250245</v>
      </c>
      <c r="K17" s="146">
        <v>27220159</v>
      </c>
      <c r="L17" s="146">
        <v>450000</v>
      </c>
      <c r="M17" s="146">
        <v>27670159</v>
      </c>
      <c r="N17" s="146">
        <v>1289</v>
      </c>
      <c r="O17" s="143">
        <v>62888.3</v>
      </c>
      <c r="P17" s="146">
        <v>1510348</v>
      </c>
      <c r="Q17" s="146">
        <v>29180507</v>
      </c>
      <c r="R17" s="146">
        <v>0</v>
      </c>
    </row>
    <row r="18" spans="1:18" x14ac:dyDescent="0.25">
      <c r="A18" s="61" t="s">
        <v>375</v>
      </c>
      <c r="B18" t="s">
        <v>27</v>
      </c>
      <c r="C18" t="s">
        <v>250</v>
      </c>
      <c r="D18" s="146">
        <v>2518</v>
      </c>
      <c r="E18" s="146">
        <v>178</v>
      </c>
      <c r="F18" s="146">
        <v>2696</v>
      </c>
      <c r="G18" s="146">
        <v>95</v>
      </c>
      <c r="H18" s="151">
        <v>1.113478644</v>
      </c>
      <c r="I18" s="143">
        <v>3001.9</v>
      </c>
      <c r="J18" s="146">
        <v>0</v>
      </c>
      <c r="K18" s="146">
        <v>24541950</v>
      </c>
      <c r="L18" s="146">
        <v>0</v>
      </c>
      <c r="M18" s="146">
        <v>24541950</v>
      </c>
      <c r="N18" s="146">
        <v>1164</v>
      </c>
      <c r="O18" s="143">
        <v>63123.199999999997</v>
      </c>
      <c r="P18" s="146">
        <v>1515989</v>
      </c>
      <c r="Q18" s="146">
        <v>26057939</v>
      </c>
      <c r="R18" s="146">
        <v>1373178</v>
      </c>
    </row>
    <row r="19" spans="1:18" x14ac:dyDescent="0.25">
      <c r="A19" s="61" t="s">
        <v>374</v>
      </c>
      <c r="B19" t="s">
        <v>28</v>
      </c>
      <c r="C19" t="s">
        <v>265</v>
      </c>
      <c r="D19" s="146">
        <v>37</v>
      </c>
      <c r="E19" s="146">
        <v>0</v>
      </c>
      <c r="F19" s="146">
        <v>37</v>
      </c>
      <c r="G19" s="146">
        <v>0</v>
      </c>
      <c r="H19" s="151">
        <v>0.87824999999999998</v>
      </c>
      <c r="I19" s="143">
        <v>32.5</v>
      </c>
      <c r="J19" s="146">
        <v>0</v>
      </c>
      <c r="K19" s="146">
        <v>265703</v>
      </c>
      <c r="L19" s="146">
        <v>0</v>
      </c>
      <c r="M19" s="146">
        <v>265703</v>
      </c>
      <c r="N19" s="146">
        <v>21</v>
      </c>
      <c r="O19" s="143">
        <v>419.6</v>
      </c>
      <c r="P19" s="146">
        <v>10077</v>
      </c>
      <c r="Q19" s="146">
        <v>275780</v>
      </c>
      <c r="R19" s="146">
        <v>14867</v>
      </c>
    </row>
    <row r="20" spans="1:18" x14ac:dyDescent="0.25">
      <c r="A20" s="61" t="s">
        <v>373</v>
      </c>
      <c r="B20" t="s">
        <v>173</v>
      </c>
      <c r="C20" t="s">
        <v>216</v>
      </c>
      <c r="D20" s="146">
        <v>0</v>
      </c>
      <c r="E20" s="146">
        <v>73</v>
      </c>
      <c r="F20" s="146">
        <v>73</v>
      </c>
      <c r="G20" s="146">
        <v>0</v>
      </c>
      <c r="H20" s="151">
        <v>0.315</v>
      </c>
      <c r="I20" s="143">
        <v>23</v>
      </c>
      <c r="J20" s="146">
        <v>0</v>
      </c>
      <c r="K20" s="146">
        <v>188036</v>
      </c>
      <c r="L20" s="146">
        <v>1025000</v>
      </c>
      <c r="M20" s="146">
        <v>1213036</v>
      </c>
      <c r="N20" s="146">
        <v>0</v>
      </c>
      <c r="O20" s="143">
        <v>0</v>
      </c>
      <c r="P20" s="146">
        <v>0</v>
      </c>
      <c r="Q20" s="146">
        <v>1213036</v>
      </c>
      <c r="R20" s="146">
        <v>67872</v>
      </c>
    </row>
    <row r="21" spans="1:18" x14ac:dyDescent="0.25">
      <c r="A21" s="61" t="s">
        <v>372</v>
      </c>
      <c r="B21" t="s">
        <v>29</v>
      </c>
      <c r="C21" t="s">
        <v>216</v>
      </c>
      <c r="D21" s="146">
        <v>108</v>
      </c>
      <c r="E21" s="146">
        <v>6</v>
      </c>
      <c r="F21" s="146">
        <v>114</v>
      </c>
      <c r="G21" s="146">
        <v>0</v>
      </c>
      <c r="H21" s="151">
        <v>1.7004698869999999</v>
      </c>
      <c r="I21" s="143">
        <v>193.9</v>
      </c>
      <c r="J21" s="146">
        <v>0</v>
      </c>
      <c r="K21" s="146">
        <v>1585224</v>
      </c>
      <c r="L21" s="146">
        <v>0</v>
      </c>
      <c r="M21" s="146">
        <v>1585224</v>
      </c>
      <c r="N21" s="146">
        <v>54</v>
      </c>
      <c r="O21" s="143">
        <v>3721.1</v>
      </c>
      <c r="P21" s="146">
        <v>89367</v>
      </c>
      <c r="Q21" s="146">
        <v>1674591</v>
      </c>
      <c r="R21" s="146">
        <v>88697</v>
      </c>
    </row>
    <row r="22" spans="1:18" x14ac:dyDescent="0.25">
      <c r="A22" s="61" t="s">
        <v>371</v>
      </c>
      <c r="B22" t="s">
        <v>459</v>
      </c>
      <c r="C22" t="s">
        <v>222</v>
      </c>
      <c r="D22" s="146">
        <v>26</v>
      </c>
      <c r="E22" s="146">
        <v>0</v>
      </c>
      <c r="F22" s="146">
        <v>26</v>
      </c>
      <c r="G22" s="146">
        <v>0</v>
      </c>
      <c r="H22" s="151">
        <v>1.3</v>
      </c>
      <c r="I22" s="143">
        <v>33.799999999999997</v>
      </c>
      <c r="J22" s="146">
        <v>0</v>
      </c>
      <c r="K22" s="146">
        <v>276331</v>
      </c>
      <c r="L22" s="146">
        <v>0</v>
      </c>
      <c r="M22" s="146">
        <v>276331</v>
      </c>
      <c r="N22" s="146">
        <v>9</v>
      </c>
      <c r="O22" s="143">
        <v>641.5</v>
      </c>
      <c r="P22" s="146">
        <v>15406</v>
      </c>
      <c r="Q22" s="146">
        <v>291737</v>
      </c>
      <c r="R22" s="146">
        <v>15461</v>
      </c>
    </row>
    <row r="23" spans="1:18" x14ac:dyDescent="0.25">
      <c r="A23" s="61" t="s">
        <v>370</v>
      </c>
      <c r="B23" t="s">
        <v>146</v>
      </c>
      <c r="C23" t="s">
        <v>227</v>
      </c>
      <c r="D23" s="146">
        <v>29</v>
      </c>
      <c r="E23" s="146">
        <v>7</v>
      </c>
      <c r="F23" s="146">
        <v>36</v>
      </c>
      <c r="G23" s="146">
        <v>0</v>
      </c>
      <c r="H23" s="151">
        <v>0.84150000000000003</v>
      </c>
      <c r="I23" s="143">
        <v>30.3</v>
      </c>
      <c r="J23" s="146">
        <v>0</v>
      </c>
      <c r="K23" s="146">
        <v>247717</v>
      </c>
      <c r="L23" s="146">
        <v>0</v>
      </c>
      <c r="M23" s="146">
        <v>247717</v>
      </c>
      <c r="N23" s="146">
        <v>133</v>
      </c>
      <c r="O23" s="143">
        <v>2448.5</v>
      </c>
      <c r="P23" s="146">
        <v>58804</v>
      </c>
      <c r="Q23" s="146">
        <v>306521</v>
      </c>
      <c r="R23" s="146">
        <v>13860</v>
      </c>
    </row>
    <row r="24" spans="1:18" x14ac:dyDescent="0.25">
      <c r="A24" s="61" t="s">
        <v>369</v>
      </c>
      <c r="B24" t="s">
        <v>30</v>
      </c>
      <c r="C24" t="s">
        <v>224</v>
      </c>
      <c r="D24" s="146">
        <v>120</v>
      </c>
      <c r="E24" s="146">
        <v>5</v>
      </c>
      <c r="F24" s="146">
        <v>125</v>
      </c>
      <c r="G24" s="146">
        <v>0</v>
      </c>
      <c r="H24" s="151">
        <v>1.0849394269999999</v>
      </c>
      <c r="I24" s="143">
        <v>135.6</v>
      </c>
      <c r="J24" s="146">
        <v>0</v>
      </c>
      <c r="K24" s="146">
        <v>1108594</v>
      </c>
      <c r="L24" s="146">
        <v>0</v>
      </c>
      <c r="M24" s="146">
        <v>1108594</v>
      </c>
      <c r="N24" s="146">
        <v>54</v>
      </c>
      <c r="O24" s="143">
        <v>1898.6</v>
      </c>
      <c r="P24" s="146">
        <v>45597</v>
      </c>
      <c r="Q24" s="146">
        <v>1154191</v>
      </c>
      <c r="R24" s="146">
        <v>62028</v>
      </c>
    </row>
    <row r="25" spans="1:18" x14ac:dyDescent="0.25">
      <c r="A25" s="61" t="s">
        <v>368</v>
      </c>
      <c r="B25" t="s">
        <v>31</v>
      </c>
      <c r="C25" t="s">
        <v>234</v>
      </c>
      <c r="D25" s="146">
        <v>183</v>
      </c>
      <c r="E25" s="146">
        <v>20</v>
      </c>
      <c r="F25" s="146">
        <v>203</v>
      </c>
      <c r="G25" s="146">
        <v>0</v>
      </c>
      <c r="H25" s="151">
        <v>1.6996285449999999</v>
      </c>
      <c r="I25" s="143">
        <v>345</v>
      </c>
      <c r="J25" s="146">
        <v>0</v>
      </c>
      <c r="K25" s="146">
        <v>2820538</v>
      </c>
      <c r="L25" s="146">
        <v>0</v>
      </c>
      <c r="M25" s="146">
        <v>2820538</v>
      </c>
      <c r="N25" s="146">
        <v>60</v>
      </c>
      <c r="O25" s="143">
        <v>4665</v>
      </c>
      <c r="P25" s="146">
        <v>112036</v>
      </c>
      <c r="Q25" s="146">
        <v>2932574</v>
      </c>
      <c r="R25" s="146">
        <v>157816</v>
      </c>
    </row>
    <row r="26" spans="1:18" x14ac:dyDescent="0.25">
      <c r="A26" s="61" t="s">
        <v>367</v>
      </c>
      <c r="B26" t="s">
        <v>200</v>
      </c>
      <c r="C26" t="s">
        <v>216</v>
      </c>
      <c r="D26" s="146">
        <v>11</v>
      </c>
      <c r="E26" s="146">
        <v>14</v>
      </c>
      <c r="F26" s="146">
        <v>25</v>
      </c>
      <c r="G26" s="146">
        <v>0</v>
      </c>
      <c r="H26" s="151">
        <v>0.59499999999999997</v>
      </c>
      <c r="I26" s="143">
        <v>14.9</v>
      </c>
      <c r="J26" s="146">
        <v>0</v>
      </c>
      <c r="K26" s="146">
        <v>121815</v>
      </c>
      <c r="L26" s="146">
        <v>0</v>
      </c>
      <c r="M26" s="146">
        <v>121815</v>
      </c>
      <c r="N26" s="146">
        <v>49</v>
      </c>
      <c r="O26" s="143">
        <v>438.5</v>
      </c>
      <c r="P26" s="146">
        <v>10531</v>
      </c>
      <c r="Q26" s="146">
        <v>132346</v>
      </c>
      <c r="R26" s="146">
        <v>6816</v>
      </c>
    </row>
    <row r="27" spans="1:18" x14ac:dyDescent="0.25">
      <c r="A27" s="61" t="s">
        <v>366</v>
      </c>
      <c r="B27" t="s">
        <v>32</v>
      </c>
      <c r="C27" t="s">
        <v>216</v>
      </c>
      <c r="D27" s="146">
        <v>8947</v>
      </c>
      <c r="E27" s="146">
        <v>1029</v>
      </c>
      <c r="F27" s="146">
        <v>9976</v>
      </c>
      <c r="G27" s="146">
        <v>180</v>
      </c>
      <c r="H27" s="151">
        <v>0.99769724100000001</v>
      </c>
      <c r="I27" s="143">
        <v>9953</v>
      </c>
      <c r="J27" s="146">
        <v>-741253</v>
      </c>
      <c r="K27" s="146">
        <v>80629221</v>
      </c>
      <c r="L27" s="146">
        <v>150000</v>
      </c>
      <c r="M27" s="146">
        <v>80779221</v>
      </c>
      <c r="N27" s="146">
        <v>3696</v>
      </c>
      <c r="O27" s="143">
        <v>176424.6</v>
      </c>
      <c r="P27" s="146">
        <v>4237075</v>
      </c>
      <c r="Q27" s="146">
        <v>85016296</v>
      </c>
      <c r="R27" s="146">
        <v>0</v>
      </c>
    </row>
    <row r="28" spans="1:18" x14ac:dyDescent="0.25">
      <c r="A28" s="61" t="s">
        <v>362</v>
      </c>
      <c r="B28" t="s">
        <v>33</v>
      </c>
      <c r="C28" t="s">
        <v>216</v>
      </c>
      <c r="D28" s="146">
        <v>59</v>
      </c>
      <c r="E28" s="146">
        <v>5</v>
      </c>
      <c r="F28" s="146">
        <v>64</v>
      </c>
      <c r="G28" s="146">
        <v>0</v>
      </c>
      <c r="H28" s="151">
        <v>1.596475316</v>
      </c>
      <c r="I28" s="143">
        <v>102.2</v>
      </c>
      <c r="J28" s="146">
        <v>0</v>
      </c>
      <c r="K28" s="146">
        <v>835533</v>
      </c>
      <c r="L28" s="146">
        <v>0</v>
      </c>
      <c r="M28" s="146">
        <v>835533</v>
      </c>
      <c r="N28" s="146">
        <v>22</v>
      </c>
      <c r="O28" s="143">
        <v>2346.8000000000002</v>
      </c>
      <c r="P28" s="146">
        <v>56362</v>
      </c>
      <c r="Q28" s="146">
        <v>891895</v>
      </c>
      <c r="R28" s="146">
        <v>46750</v>
      </c>
    </row>
    <row r="29" spans="1:18" x14ac:dyDescent="0.25">
      <c r="A29" s="61" t="s">
        <v>365</v>
      </c>
      <c r="B29" t="s">
        <v>34</v>
      </c>
      <c r="C29" t="s">
        <v>216</v>
      </c>
      <c r="D29" s="146">
        <v>1890</v>
      </c>
      <c r="E29" s="146">
        <v>130</v>
      </c>
      <c r="F29" s="146">
        <v>2020</v>
      </c>
      <c r="G29" s="146">
        <v>0</v>
      </c>
      <c r="H29" s="151">
        <v>0.78160214299999997</v>
      </c>
      <c r="I29" s="143">
        <v>1578.8</v>
      </c>
      <c r="J29" s="146">
        <v>0</v>
      </c>
      <c r="K29" s="146">
        <v>12907435</v>
      </c>
      <c r="L29" s="146">
        <v>0</v>
      </c>
      <c r="M29" s="146">
        <v>12907435</v>
      </c>
      <c r="N29" s="146">
        <v>947</v>
      </c>
      <c r="O29" s="143">
        <v>42539.8</v>
      </c>
      <c r="P29" s="146">
        <v>1021651</v>
      </c>
      <c r="Q29" s="146">
        <v>13929086</v>
      </c>
      <c r="R29" s="146">
        <v>722200</v>
      </c>
    </row>
    <row r="30" spans="1:18" x14ac:dyDescent="0.25">
      <c r="A30" s="61" t="s">
        <v>364</v>
      </c>
      <c r="B30" t="s">
        <v>35</v>
      </c>
      <c r="C30" t="s">
        <v>216</v>
      </c>
      <c r="D30" s="146">
        <v>1462</v>
      </c>
      <c r="E30" s="146">
        <v>72</v>
      </c>
      <c r="F30" s="146">
        <v>1534</v>
      </c>
      <c r="G30" s="146">
        <v>0</v>
      </c>
      <c r="H30" s="151">
        <v>3.7284276730000001</v>
      </c>
      <c r="I30" s="143">
        <v>5719.4</v>
      </c>
      <c r="J30" s="146">
        <v>0</v>
      </c>
      <c r="K30" s="146">
        <v>46758795</v>
      </c>
      <c r="L30" s="146">
        <v>0</v>
      </c>
      <c r="M30" s="146">
        <v>46758795</v>
      </c>
      <c r="N30" s="146">
        <v>382</v>
      </c>
      <c r="O30" s="143">
        <v>21057</v>
      </c>
      <c r="P30" s="146">
        <v>505712</v>
      </c>
      <c r="Q30" s="146">
        <v>47264507</v>
      </c>
      <c r="R30" s="146">
        <v>2616261</v>
      </c>
    </row>
    <row r="31" spans="1:18" x14ac:dyDescent="0.25">
      <c r="A31" s="61" t="s">
        <v>363</v>
      </c>
      <c r="B31" t="s">
        <v>36</v>
      </c>
      <c r="C31" t="s">
        <v>312</v>
      </c>
      <c r="D31" s="146">
        <v>310</v>
      </c>
      <c r="E31" s="146">
        <v>10</v>
      </c>
      <c r="F31" s="146">
        <v>320</v>
      </c>
      <c r="G31" s="146">
        <v>0</v>
      </c>
      <c r="H31" s="151">
        <v>1.6106184429999999</v>
      </c>
      <c r="I31" s="143">
        <v>515.4</v>
      </c>
      <c r="J31" s="146">
        <v>0</v>
      </c>
      <c r="K31" s="146">
        <v>4213638</v>
      </c>
      <c r="L31" s="146">
        <v>0</v>
      </c>
      <c r="M31" s="146">
        <v>4213638</v>
      </c>
      <c r="N31" s="146">
        <v>123</v>
      </c>
      <c r="O31" s="143">
        <v>10683.4</v>
      </c>
      <c r="P31" s="146">
        <v>256576</v>
      </c>
      <c r="Q31" s="146">
        <v>4470214</v>
      </c>
      <c r="R31" s="146">
        <v>235763</v>
      </c>
    </row>
    <row r="32" spans="1:18" x14ac:dyDescent="0.25">
      <c r="A32" s="61" t="s">
        <v>360</v>
      </c>
      <c r="B32" t="s">
        <v>37</v>
      </c>
      <c r="C32" t="s">
        <v>216</v>
      </c>
      <c r="D32" s="146">
        <v>3141</v>
      </c>
      <c r="E32" s="146">
        <v>320</v>
      </c>
      <c r="F32" s="146">
        <v>3461</v>
      </c>
      <c r="G32" s="146">
        <v>110</v>
      </c>
      <c r="H32" s="151">
        <v>1.0212641440000001</v>
      </c>
      <c r="I32" s="143">
        <v>3534.6</v>
      </c>
      <c r="J32" s="146">
        <v>0</v>
      </c>
      <c r="K32" s="146">
        <v>28897024</v>
      </c>
      <c r="L32" s="146">
        <v>0</v>
      </c>
      <c r="M32" s="146">
        <v>28897024</v>
      </c>
      <c r="N32" s="146">
        <v>1478</v>
      </c>
      <c r="O32" s="143">
        <v>74667.7</v>
      </c>
      <c r="P32" s="146">
        <v>1793246</v>
      </c>
      <c r="Q32" s="146">
        <v>30690270</v>
      </c>
      <c r="R32" s="146">
        <v>1616854</v>
      </c>
    </row>
    <row r="33" spans="1:18" x14ac:dyDescent="0.25">
      <c r="A33" s="61" t="s">
        <v>359</v>
      </c>
      <c r="B33" t="s">
        <v>38</v>
      </c>
      <c r="C33" t="s">
        <v>312</v>
      </c>
      <c r="D33" s="146">
        <v>456</v>
      </c>
      <c r="E33" s="146">
        <v>45</v>
      </c>
      <c r="F33" s="146">
        <v>501</v>
      </c>
      <c r="G33" s="146">
        <v>0</v>
      </c>
      <c r="H33" s="151">
        <v>1.305823827</v>
      </c>
      <c r="I33" s="143">
        <v>654.20000000000005</v>
      </c>
      <c r="J33" s="146">
        <v>0</v>
      </c>
      <c r="K33" s="146">
        <v>5348394</v>
      </c>
      <c r="L33" s="146">
        <v>0</v>
      </c>
      <c r="M33" s="146">
        <v>5348394</v>
      </c>
      <c r="N33" s="146">
        <v>252</v>
      </c>
      <c r="O33" s="143">
        <v>11252.6</v>
      </c>
      <c r="P33" s="146">
        <v>270246</v>
      </c>
      <c r="Q33" s="146">
        <v>5618640</v>
      </c>
      <c r="R33" s="146">
        <v>299255</v>
      </c>
    </row>
    <row r="34" spans="1:18" x14ac:dyDescent="0.25">
      <c r="A34" s="61" t="s">
        <v>358</v>
      </c>
      <c r="B34" t="s">
        <v>39</v>
      </c>
      <c r="C34" t="s">
        <v>216</v>
      </c>
      <c r="D34" s="146">
        <v>893</v>
      </c>
      <c r="E34" s="146">
        <v>16</v>
      </c>
      <c r="F34" s="146">
        <v>909</v>
      </c>
      <c r="G34" s="146">
        <v>0</v>
      </c>
      <c r="H34" s="151">
        <v>3.6423178539999999</v>
      </c>
      <c r="I34" s="143">
        <v>3310.9</v>
      </c>
      <c r="J34" s="146">
        <v>0</v>
      </c>
      <c r="K34" s="146">
        <v>27068171</v>
      </c>
      <c r="L34" s="146">
        <v>0</v>
      </c>
      <c r="M34" s="146">
        <v>27068171</v>
      </c>
      <c r="N34" s="146">
        <v>215</v>
      </c>
      <c r="O34" s="143">
        <v>12449.6</v>
      </c>
      <c r="P34" s="146">
        <v>298994</v>
      </c>
      <c r="Q34" s="146">
        <v>27367165</v>
      </c>
      <c r="R34" s="146">
        <v>1514526</v>
      </c>
    </row>
    <row r="35" spans="1:18" x14ac:dyDescent="0.25">
      <c r="A35" s="61" t="s">
        <v>357</v>
      </c>
      <c r="B35" t="s">
        <v>40</v>
      </c>
      <c r="C35" t="s">
        <v>250</v>
      </c>
      <c r="D35" s="146">
        <v>36</v>
      </c>
      <c r="E35" s="146">
        <v>2</v>
      </c>
      <c r="F35" s="146">
        <v>38</v>
      </c>
      <c r="G35" s="146">
        <v>0</v>
      </c>
      <c r="H35" s="151">
        <v>1.219121202</v>
      </c>
      <c r="I35" s="143">
        <v>46.3</v>
      </c>
      <c r="J35" s="146">
        <v>0</v>
      </c>
      <c r="K35" s="146">
        <v>378524</v>
      </c>
      <c r="L35" s="146">
        <v>0</v>
      </c>
      <c r="M35" s="146">
        <v>378524</v>
      </c>
      <c r="N35" s="146">
        <v>17</v>
      </c>
      <c r="O35" s="143">
        <v>737.7</v>
      </c>
      <c r="P35" s="146">
        <v>17717</v>
      </c>
      <c r="Q35" s="146">
        <v>396241</v>
      </c>
      <c r="R35" s="146">
        <v>21179</v>
      </c>
    </row>
    <row r="36" spans="1:18" x14ac:dyDescent="0.25">
      <c r="A36" s="61" t="s">
        <v>356</v>
      </c>
      <c r="B36" t="s">
        <v>41</v>
      </c>
      <c r="C36" t="s">
        <v>250</v>
      </c>
      <c r="D36" s="146">
        <v>1361</v>
      </c>
      <c r="E36" s="146">
        <v>114</v>
      </c>
      <c r="F36" s="146">
        <v>1475</v>
      </c>
      <c r="G36" s="146">
        <v>80</v>
      </c>
      <c r="H36" s="151">
        <v>1.051441493</v>
      </c>
      <c r="I36" s="143">
        <v>1550.9</v>
      </c>
      <c r="J36" s="146">
        <v>-115504</v>
      </c>
      <c r="K36" s="146">
        <v>12563836</v>
      </c>
      <c r="L36" s="146">
        <v>0</v>
      </c>
      <c r="M36" s="146">
        <v>12563836</v>
      </c>
      <c r="N36" s="146">
        <v>767</v>
      </c>
      <c r="O36" s="143">
        <v>33313.1</v>
      </c>
      <c r="P36" s="146">
        <v>800059</v>
      </c>
      <c r="Q36" s="146">
        <v>13363895</v>
      </c>
      <c r="R36" s="146">
        <v>0</v>
      </c>
    </row>
    <row r="37" spans="1:18" x14ac:dyDescent="0.25">
      <c r="A37" s="61" t="s">
        <v>355</v>
      </c>
      <c r="B37" t="s">
        <v>42</v>
      </c>
      <c r="C37" t="s">
        <v>295</v>
      </c>
      <c r="D37" s="146">
        <v>64</v>
      </c>
      <c r="E37" s="146">
        <v>11</v>
      </c>
      <c r="F37" s="146">
        <v>75</v>
      </c>
      <c r="G37" s="146">
        <v>0</v>
      </c>
      <c r="H37" s="151">
        <v>0.75911176499999999</v>
      </c>
      <c r="I37" s="143">
        <v>56.9</v>
      </c>
      <c r="J37" s="146">
        <v>0</v>
      </c>
      <c r="K37" s="146">
        <v>465184</v>
      </c>
      <c r="L37" s="146">
        <v>0</v>
      </c>
      <c r="M37" s="146">
        <v>465184</v>
      </c>
      <c r="N37" s="146">
        <v>41</v>
      </c>
      <c r="O37" s="143">
        <v>823.3</v>
      </c>
      <c r="P37" s="146">
        <v>19773</v>
      </c>
      <c r="Q37" s="146">
        <v>484957</v>
      </c>
      <c r="R37" s="146">
        <v>26028</v>
      </c>
    </row>
    <row r="38" spans="1:18" x14ac:dyDescent="0.25">
      <c r="A38" s="61" t="s">
        <v>352</v>
      </c>
      <c r="B38" t="s">
        <v>43</v>
      </c>
      <c r="C38" t="s">
        <v>295</v>
      </c>
      <c r="D38" s="146">
        <v>68</v>
      </c>
      <c r="E38" s="146">
        <v>0</v>
      </c>
      <c r="F38" s="146">
        <v>68</v>
      </c>
      <c r="G38" s="146">
        <v>0</v>
      </c>
      <c r="H38" s="151">
        <v>1.59</v>
      </c>
      <c r="I38" s="143">
        <v>108.1</v>
      </c>
      <c r="J38" s="146">
        <v>-8051</v>
      </c>
      <c r="K38" s="146">
        <v>875718</v>
      </c>
      <c r="L38" s="146">
        <v>0</v>
      </c>
      <c r="M38" s="146">
        <v>875718</v>
      </c>
      <c r="N38" s="146">
        <v>29</v>
      </c>
      <c r="O38" s="143">
        <v>2718.9</v>
      </c>
      <c r="P38" s="146">
        <v>65298</v>
      </c>
      <c r="Q38" s="146">
        <v>941016</v>
      </c>
      <c r="R38" s="146">
        <v>0</v>
      </c>
    </row>
    <row r="39" spans="1:18" x14ac:dyDescent="0.25">
      <c r="A39" s="61" t="s">
        <v>351</v>
      </c>
      <c r="B39" t="s">
        <v>44</v>
      </c>
      <c r="C39" t="s">
        <v>224</v>
      </c>
      <c r="D39" s="146">
        <v>3008</v>
      </c>
      <c r="E39" s="146">
        <v>30</v>
      </c>
      <c r="F39" s="146">
        <v>3038</v>
      </c>
      <c r="G39" s="146">
        <v>30</v>
      </c>
      <c r="H39" s="151">
        <v>1.097288257</v>
      </c>
      <c r="I39" s="143">
        <v>3333.6</v>
      </c>
      <c r="J39" s="146">
        <v>-248271</v>
      </c>
      <c r="K39" s="146">
        <v>27005483</v>
      </c>
      <c r="L39" s="146">
        <v>0</v>
      </c>
      <c r="M39" s="146">
        <v>27005483</v>
      </c>
      <c r="N39" s="146">
        <v>1214</v>
      </c>
      <c r="O39" s="143">
        <v>58597.3</v>
      </c>
      <c r="P39" s="146">
        <v>1407293</v>
      </c>
      <c r="Q39" s="146">
        <v>28412776</v>
      </c>
      <c r="R39" s="146">
        <v>0</v>
      </c>
    </row>
    <row r="40" spans="1:18" x14ac:dyDescent="0.25">
      <c r="A40" s="61" t="s">
        <v>350</v>
      </c>
      <c r="B40" t="s">
        <v>45</v>
      </c>
      <c r="C40" t="s">
        <v>216</v>
      </c>
      <c r="D40" s="146">
        <v>136</v>
      </c>
      <c r="E40" s="146">
        <v>7</v>
      </c>
      <c r="F40" s="146">
        <v>143</v>
      </c>
      <c r="G40" s="146">
        <v>0</v>
      </c>
      <c r="H40" s="151">
        <v>0.48760395499999998</v>
      </c>
      <c r="I40" s="143">
        <v>69.7</v>
      </c>
      <c r="J40" s="146">
        <v>0</v>
      </c>
      <c r="K40" s="146">
        <v>569830</v>
      </c>
      <c r="L40" s="146">
        <v>200000</v>
      </c>
      <c r="M40" s="146">
        <v>769830</v>
      </c>
      <c r="N40" s="146">
        <v>97</v>
      </c>
      <c r="O40" s="143">
        <v>1184.7</v>
      </c>
      <c r="P40" s="146">
        <v>28452</v>
      </c>
      <c r="Q40" s="146">
        <v>798282</v>
      </c>
      <c r="R40" s="146">
        <v>43074</v>
      </c>
    </row>
    <row r="41" spans="1:18" x14ac:dyDescent="0.25">
      <c r="A41" s="61" t="s">
        <v>349</v>
      </c>
      <c r="B41" t="s">
        <v>46</v>
      </c>
      <c r="C41" t="s">
        <v>218</v>
      </c>
      <c r="D41" s="146">
        <v>6525</v>
      </c>
      <c r="E41" s="146">
        <v>523</v>
      </c>
      <c r="F41" s="146">
        <v>7048</v>
      </c>
      <c r="G41" s="146">
        <v>444</v>
      </c>
      <c r="H41" s="151">
        <v>1.0539532039999999</v>
      </c>
      <c r="I41" s="143">
        <v>7428.3</v>
      </c>
      <c r="J41" s="146">
        <v>-553225</v>
      </c>
      <c r="K41" s="146">
        <v>60176634</v>
      </c>
      <c r="L41" s="146">
        <v>0</v>
      </c>
      <c r="M41" s="146">
        <v>60176634</v>
      </c>
      <c r="N41" s="146">
        <v>3162</v>
      </c>
      <c r="O41" s="143">
        <v>150979.6</v>
      </c>
      <c r="P41" s="146">
        <v>3625979</v>
      </c>
      <c r="Q41" s="146">
        <v>63802613</v>
      </c>
      <c r="R41" s="146">
        <v>0</v>
      </c>
    </row>
    <row r="42" spans="1:18" x14ac:dyDescent="0.25">
      <c r="A42" s="61" t="s">
        <v>354</v>
      </c>
      <c r="B42" t="s">
        <v>47</v>
      </c>
      <c r="C42" t="s">
        <v>218</v>
      </c>
      <c r="D42" s="146">
        <v>166</v>
      </c>
      <c r="E42" s="146">
        <v>14</v>
      </c>
      <c r="F42" s="146">
        <v>180</v>
      </c>
      <c r="G42" s="146">
        <v>0</v>
      </c>
      <c r="H42" s="151">
        <v>1.0274888929999999</v>
      </c>
      <c r="I42" s="143">
        <v>184.9</v>
      </c>
      <c r="J42" s="146">
        <v>0</v>
      </c>
      <c r="K42" s="146">
        <v>1511645</v>
      </c>
      <c r="L42" s="146">
        <v>0</v>
      </c>
      <c r="M42" s="146">
        <v>1511645</v>
      </c>
      <c r="N42" s="146">
        <v>72</v>
      </c>
      <c r="O42" s="143">
        <v>2573.1999999999998</v>
      </c>
      <c r="P42" s="146">
        <v>61799</v>
      </c>
      <c r="Q42" s="146">
        <v>1573444</v>
      </c>
      <c r="R42" s="146">
        <v>84580</v>
      </c>
    </row>
    <row r="43" spans="1:18" x14ac:dyDescent="0.25">
      <c r="A43" s="61" t="s">
        <v>353</v>
      </c>
      <c r="B43" t="s">
        <v>48</v>
      </c>
      <c r="C43" t="s">
        <v>218</v>
      </c>
      <c r="D43" s="146">
        <v>118</v>
      </c>
      <c r="E43" s="146">
        <v>5</v>
      </c>
      <c r="F43" s="146">
        <v>123</v>
      </c>
      <c r="G43" s="146">
        <v>0</v>
      </c>
      <c r="H43" s="151">
        <v>1.090759837</v>
      </c>
      <c r="I43" s="143">
        <v>134.19999999999999</v>
      </c>
      <c r="J43" s="146">
        <v>0</v>
      </c>
      <c r="K43" s="146">
        <v>1097148</v>
      </c>
      <c r="L43" s="146">
        <v>0</v>
      </c>
      <c r="M43" s="146">
        <v>1097148</v>
      </c>
      <c r="N43" s="146">
        <v>34</v>
      </c>
      <c r="O43" s="143">
        <v>2263.1</v>
      </c>
      <c r="P43" s="146">
        <v>54351</v>
      </c>
      <c r="Q43" s="146">
        <v>1151499</v>
      </c>
      <c r="R43" s="146">
        <v>61388</v>
      </c>
    </row>
    <row r="44" spans="1:18" x14ac:dyDescent="0.25">
      <c r="A44" s="61" t="s">
        <v>348</v>
      </c>
      <c r="B44" t="s">
        <v>49</v>
      </c>
      <c r="C44" t="s">
        <v>249</v>
      </c>
      <c r="D44" s="146">
        <v>555</v>
      </c>
      <c r="E44" s="146">
        <v>15</v>
      </c>
      <c r="F44" s="146">
        <v>570</v>
      </c>
      <c r="G44" s="146">
        <v>10</v>
      </c>
      <c r="H44" s="151">
        <v>1.04740543</v>
      </c>
      <c r="I44" s="143">
        <v>597</v>
      </c>
      <c r="J44" s="146">
        <v>-44462</v>
      </c>
      <c r="K44" s="146">
        <v>4836295</v>
      </c>
      <c r="L44" s="146">
        <v>0</v>
      </c>
      <c r="M44" s="146">
        <v>4836295</v>
      </c>
      <c r="N44" s="146">
        <v>225</v>
      </c>
      <c r="O44" s="143">
        <v>10124.9</v>
      </c>
      <c r="P44" s="146">
        <v>243163</v>
      </c>
      <c r="Q44" s="146">
        <v>5079458</v>
      </c>
      <c r="R44" s="146">
        <v>0</v>
      </c>
    </row>
    <row r="45" spans="1:18" x14ac:dyDescent="0.25">
      <c r="A45" s="61" t="s">
        <v>347</v>
      </c>
      <c r="B45" t="s">
        <v>50</v>
      </c>
      <c r="C45" t="s">
        <v>226</v>
      </c>
      <c r="D45" s="146">
        <v>2561</v>
      </c>
      <c r="E45" s="146">
        <v>173</v>
      </c>
      <c r="F45" s="146">
        <v>2734</v>
      </c>
      <c r="G45" s="146">
        <v>113</v>
      </c>
      <c r="H45" s="151">
        <v>1.0753892839999999</v>
      </c>
      <c r="I45" s="143">
        <v>2940.1</v>
      </c>
      <c r="J45" s="146">
        <v>-218965</v>
      </c>
      <c r="K45" s="146">
        <v>23817741</v>
      </c>
      <c r="L45" s="146">
        <v>0</v>
      </c>
      <c r="M45" s="146">
        <v>23817741</v>
      </c>
      <c r="N45" s="146">
        <v>1322</v>
      </c>
      <c r="O45" s="143">
        <v>63037.5</v>
      </c>
      <c r="P45" s="146">
        <v>1513931</v>
      </c>
      <c r="Q45" s="146">
        <v>25331672</v>
      </c>
      <c r="R45" s="146">
        <v>0</v>
      </c>
    </row>
    <row r="46" spans="1:18" x14ac:dyDescent="0.25">
      <c r="A46" s="61" t="s">
        <v>346</v>
      </c>
      <c r="B46" t="s">
        <v>201</v>
      </c>
      <c r="C46" t="s">
        <v>224</v>
      </c>
      <c r="D46" s="146">
        <v>89</v>
      </c>
      <c r="E46" s="146">
        <v>9</v>
      </c>
      <c r="F46" s="146">
        <v>98</v>
      </c>
      <c r="G46" s="146">
        <v>0</v>
      </c>
      <c r="H46" s="151">
        <v>1.070298929</v>
      </c>
      <c r="I46" s="143">
        <v>104.9</v>
      </c>
      <c r="J46" s="146">
        <v>0</v>
      </c>
      <c r="K46" s="146">
        <v>857607</v>
      </c>
      <c r="L46" s="146">
        <v>0</v>
      </c>
      <c r="M46" s="146">
        <v>857607</v>
      </c>
      <c r="N46" s="146">
        <v>50</v>
      </c>
      <c r="O46" s="143">
        <v>1789.1</v>
      </c>
      <c r="P46" s="146">
        <v>42968</v>
      </c>
      <c r="Q46" s="146">
        <v>900575</v>
      </c>
      <c r="R46" s="146">
        <v>47985</v>
      </c>
    </row>
    <row r="47" spans="1:18" x14ac:dyDescent="0.25">
      <c r="A47" s="61" t="s">
        <v>345</v>
      </c>
      <c r="B47" t="s">
        <v>51</v>
      </c>
      <c r="C47" t="s">
        <v>216</v>
      </c>
      <c r="D47" s="146">
        <v>85</v>
      </c>
      <c r="E47" s="146">
        <v>5</v>
      </c>
      <c r="F47" s="146">
        <v>90</v>
      </c>
      <c r="G47" s="146">
        <v>0</v>
      </c>
      <c r="H47" s="151">
        <v>1.179555967</v>
      </c>
      <c r="I47" s="143">
        <v>106.2</v>
      </c>
      <c r="J47" s="146">
        <v>0</v>
      </c>
      <c r="K47" s="146">
        <v>868235</v>
      </c>
      <c r="L47" s="146">
        <v>0</v>
      </c>
      <c r="M47" s="146">
        <v>868235</v>
      </c>
      <c r="N47" s="146">
        <v>47</v>
      </c>
      <c r="O47" s="143">
        <v>2316.6</v>
      </c>
      <c r="P47" s="146">
        <v>55636</v>
      </c>
      <c r="Q47" s="146">
        <v>923871</v>
      </c>
      <c r="R47" s="146">
        <v>48580</v>
      </c>
    </row>
    <row r="48" spans="1:18" x14ac:dyDescent="0.25">
      <c r="A48" s="61" t="s">
        <v>344</v>
      </c>
      <c r="B48" t="s">
        <v>52</v>
      </c>
      <c r="C48" t="s">
        <v>216</v>
      </c>
      <c r="D48" s="146">
        <v>63</v>
      </c>
      <c r="E48" s="146">
        <v>0</v>
      </c>
      <c r="F48" s="146">
        <v>63</v>
      </c>
      <c r="G48" s="146">
        <v>0</v>
      </c>
      <c r="H48" s="151">
        <v>0.97451005000000002</v>
      </c>
      <c r="I48" s="143">
        <v>61.4</v>
      </c>
      <c r="J48" s="146">
        <v>0</v>
      </c>
      <c r="K48" s="146">
        <v>501974</v>
      </c>
      <c r="L48" s="146">
        <v>0</v>
      </c>
      <c r="M48" s="146">
        <v>501974</v>
      </c>
      <c r="N48" s="146">
        <v>13</v>
      </c>
      <c r="O48" s="143">
        <v>212.5</v>
      </c>
      <c r="P48" s="146">
        <v>5103</v>
      </c>
      <c r="Q48" s="146">
        <v>507077</v>
      </c>
      <c r="R48" s="146">
        <v>28087</v>
      </c>
    </row>
    <row r="49" spans="1:18" x14ac:dyDescent="0.25">
      <c r="A49" s="61" t="s">
        <v>343</v>
      </c>
      <c r="B49" t="s">
        <v>53</v>
      </c>
      <c r="C49" t="s">
        <v>218</v>
      </c>
      <c r="D49" s="146">
        <v>23</v>
      </c>
      <c r="E49" s="146">
        <v>0</v>
      </c>
      <c r="F49" s="146">
        <v>23</v>
      </c>
      <c r="G49" s="146">
        <v>0</v>
      </c>
      <c r="H49" s="151">
        <v>0.80139253600000004</v>
      </c>
      <c r="I49" s="143">
        <v>18.399999999999999</v>
      </c>
      <c r="J49" s="146">
        <v>0</v>
      </c>
      <c r="K49" s="146">
        <v>150429</v>
      </c>
      <c r="L49" s="146">
        <v>0</v>
      </c>
      <c r="M49" s="146">
        <v>150429</v>
      </c>
      <c r="N49" s="146">
        <v>9</v>
      </c>
      <c r="O49" s="143">
        <v>160.4</v>
      </c>
      <c r="P49" s="146">
        <v>3852</v>
      </c>
      <c r="Q49" s="146">
        <v>154281</v>
      </c>
      <c r="R49" s="146">
        <v>8417</v>
      </c>
    </row>
    <row r="50" spans="1:18" x14ac:dyDescent="0.25">
      <c r="A50" s="61" t="s">
        <v>342</v>
      </c>
      <c r="B50" t="s">
        <v>54</v>
      </c>
      <c r="C50" t="s">
        <v>216</v>
      </c>
      <c r="D50" s="146">
        <v>664</v>
      </c>
      <c r="E50" s="146">
        <v>95</v>
      </c>
      <c r="F50" s="146">
        <v>759</v>
      </c>
      <c r="G50" s="146">
        <v>0</v>
      </c>
      <c r="H50" s="151">
        <v>0.72341920199999998</v>
      </c>
      <c r="I50" s="143">
        <v>549.1</v>
      </c>
      <c r="J50" s="146">
        <v>0</v>
      </c>
      <c r="K50" s="146">
        <v>4489152</v>
      </c>
      <c r="L50" s="146">
        <v>0</v>
      </c>
      <c r="M50" s="146">
        <v>4489152</v>
      </c>
      <c r="N50" s="146">
        <v>306</v>
      </c>
      <c r="O50" s="143">
        <v>13910.4</v>
      </c>
      <c r="P50" s="146">
        <v>334077</v>
      </c>
      <c r="Q50" s="146">
        <v>4823229</v>
      </c>
      <c r="R50" s="146">
        <v>251178</v>
      </c>
    </row>
    <row r="51" spans="1:18" x14ac:dyDescent="0.25">
      <c r="A51" s="61" t="s">
        <v>341</v>
      </c>
      <c r="B51" t="s">
        <v>55</v>
      </c>
      <c r="C51" t="s">
        <v>323</v>
      </c>
      <c r="D51" s="146">
        <v>69</v>
      </c>
      <c r="E51" s="146">
        <v>0</v>
      </c>
      <c r="F51" s="146">
        <v>69</v>
      </c>
      <c r="G51" s="146">
        <v>0</v>
      </c>
      <c r="H51" s="151">
        <v>1.0669123869999999</v>
      </c>
      <c r="I51" s="143">
        <v>73.599999999999994</v>
      </c>
      <c r="J51" s="146">
        <v>0</v>
      </c>
      <c r="K51" s="146">
        <v>601715</v>
      </c>
      <c r="L51" s="146">
        <v>0</v>
      </c>
      <c r="M51" s="146">
        <v>601715</v>
      </c>
      <c r="N51" s="146">
        <v>55</v>
      </c>
      <c r="O51" s="143">
        <v>2159.8000000000002</v>
      </c>
      <c r="P51" s="146">
        <v>51871</v>
      </c>
      <c r="Q51" s="146">
        <v>653586</v>
      </c>
      <c r="R51" s="146">
        <v>33667</v>
      </c>
    </row>
    <row r="52" spans="1:18" x14ac:dyDescent="0.25">
      <c r="A52" s="61" t="s">
        <v>340</v>
      </c>
      <c r="B52" t="s">
        <v>56</v>
      </c>
      <c r="C52" t="s">
        <v>216</v>
      </c>
      <c r="D52" s="146">
        <v>83</v>
      </c>
      <c r="E52" s="146">
        <v>5</v>
      </c>
      <c r="F52" s="146">
        <v>88</v>
      </c>
      <c r="G52" s="146">
        <v>0</v>
      </c>
      <c r="H52" s="151">
        <v>0.93090634400000005</v>
      </c>
      <c r="I52" s="143">
        <v>81.900000000000006</v>
      </c>
      <c r="J52" s="146">
        <v>0</v>
      </c>
      <c r="K52" s="146">
        <v>669571</v>
      </c>
      <c r="L52" s="146">
        <v>60000</v>
      </c>
      <c r="M52" s="146">
        <v>729571</v>
      </c>
      <c r="N52" s="146">
        <v>29</v>
      </c>
      <c r="O52" s="143">
        <v>1318.7</v>
      </c>
      <c r="P52" s="146">
        <v>31670</v>
      </c>
      <c r="Q52" s="146">
        <v>761241</v>
      </c>
      <c r="R52" s="146">
        <v>40821</v>
      </c>
    </row>
    <row r="53" spans="1:18" x14ac:dyDescent="0.25">
      <c r="A53" s="61" t="s">
        <v>339</v>
      </c>
      <c r="B53" t="s">
        <v>57</v>
      </c>
      <c r="C53" t="s">
        <v>274</v>
      </c>
      <c r="D53" s="146">
        <v>2434</v>
      </c>
      <c r="E53" s="146">
        <v>260</v>
      </c>
      <c r="F53" s="146">
        <v>2694</v>
      </c>
      <c r="G53" s="146">
        <v>166</v>
      </c>
      <c r="H53" s="151">
        <v>1.0253113650000001</v>
      </c>
      <c r="I53" s="143">
        <v>2762.2</v>
      </c>
      <c r="J53" s="146">
        <v>-205716</v>
      </c>
      <c r="K53" s="146">
        <v>22376573</v>
      </c>
      <c r="L53" s="146">
        <v>0</v>
      </c>
      <c r="M53" s="146">
        <v>22376573</v>
      </c>
      <c r="N53" s="146">
        <v>954</v>
      </c>
      <c r="O53" s="143">
        <v>49317.7</v>
      </c>
      <c r="P53" s="146">
        <v>1184431</v>
      </c>
      <c r="Q53" s="146">
        <v>23561004</v>
      </c>
      <c r="R53" s="146">
        <v>0</v>
      </c>
    </row>
    <row r="54" spans="1:18" x14ac:dyDescent="0.25">
      <c r="A54" s="61" t="s">
        <v>325</v>
      </c>
      <c r="B54" t="s">
        <v>58</v>
      </c>
      <c r="C54" t="s">
        <v>323</v>
      </c>
      <c r="D54" s="146">
        <v>43</v>
      </c>
      <c r="E54" s="146">
        <v>5</v>
      </c>
      <c r="F54" s="146">
        <v>48</v>
      </c>
      <c r="G54" s="146">
        <v>0</v>
      </c>
      <c r="H54" s="151">
        <v>1.59</v>
      </c>
      <c r="I54" s="143">
        <v>76.3</v>
      </c>
      <c r="J54" s="146">
        <v>0</v>
      </c>
      <c r="K54" s="146">
        <v>623789</v>
      </c>
      <c r="L54" s="146">
        <v>0</v>
      </c>
      <c r="M54" s="146">
        <v>623789</v>
      </c>
      <c r="N54" s="146">
        <v>16</v>
      </c>
      <c r="O54" s="143">
        <v>1488.2</v>
      </c>
      <c r="P54" s="146">
        <v>35741</v>
      </c>
      <c r="Q54" s="146">
        <v>659530</v>
      </c>
      <c r="R54" s="146">
        <v>34902</v>
      </c>
    </row>
    <row r="55" spans="1:18" x14ac:dyDescent="0.25">
      <c r="A55" s="61" t="s">
        <v>324</v>
      </c>
      <c r="B55" t="s">
        <v>59</v>
      </c>
      <c r="C55" t="s">
        <v>323</v>
      </c>
      <c r="D55" s="146">
        <v>2572</v>
      </c>
      <c r="E55" s="146">
        <v>161</v>
      </c>
      <c r="F55" s="146">
        <v>2733</v>
      </c>
      <c r="G55" s="146">
        <v>108</v>
      </c>
      <c r="H55" s="151">
        <v>1.107106728</v>
      </c>
      <c r="I55" s="143">
        <v>3025.7</v>
      </c>
      <c r="J55" s="146">
        <v>-225340</v>
      </c>
      <c r="K55" s="146">
        <v>24511186</v>
      </c>
      <c r="L55" s="146">
        <v>400000</v>
      </c>
      <c r="M55" s="146">
        <v>24911186</v>
      </c>
      <c r="N55" s="146">
        <v>1308</v>
      </c>
      <c r="O55" s="143">
        <v>63851</v>
      </c>
      <c r="P55" s="146">
        <v>1533468</v>
      </c>
      <c r="Q55" s="146">
        <v>26444654</v>
      </c>
      <c r="R55" s="146">
        <v>0</v>
      </c>
    </row>
    <row r="56" spans="1:18" x14ac:dyDescent="0.25">
      <c r="A56" s="61" t="s">
        <v>318</v>
      </c>
      <c r="B56" t="s">
        <v>60</v>
      </c>
      <c r="C56" t="s">
        <v>216</v>
      </c>
      <c r="D56" s="146">
        <v>5059</v>
      </c>
      <c r="E56" s="146">
        <v>721</v>
      </c>
      <c r="F56" s="146">
        <v>5780</v>
      </c>
      <c r="G56" s="146">
        <v>170</v>
      </c>
      <c r="H56" s="151">
        <v>1.0259115350000001</v>
      </c>
      <c r="I56" s="143">
        <v>5929.8</v>
      </c>
      <c r="J56" s="146">
        <v>-441624</v>
      </c>
      <c r="K56" s="146">
        <v>48037291</v>
      </c>
      <c r="L56" s="146">
        <v>0</v>
      </c>
      <c r="M56" s="146">
        <v>48037291</v>
      </c>
      <c r="N56" s="146">
        <v>1795</v>
      </c>
      <c r="O56" s="143">
        <v>92245.4</v>
      </c>
      <c r="P56" s="146">
        <v>2215398</v>
      </c>
      <c r="Q56" s="146">
        <v>50252689</v>
      </c>
      <c r="R56" s="146">
        <v>0</v>
      </c>
    </row>
    <row r="57" spans="1:18" x14ac:dyDescent="0.25">
      <c r="A57" s="61" t="s">
        <v>338</v>
      </c>
      <c r="B57" t="s">
        <v>61</v>
      </c>
      <c r="C57" t="s">
        <v>216</v>
      </c>
      <c r="D57" s="146">
        <v>332</v>
      </c>
      <c r="E57" s="146">
        <v>13</v>
      </c>
      <c r="F57" s="146">
        <v>345</v>
      </c>
      <c r="G57" s="146">
        <v>0</v>
      </c>
      <c r="H57" s="151">
        <v>0.62193357500000002</v>
      </c>
      <c r="I57" s="143">
        <v>214.6</v>
      </c>
      <c r="J57" s="146">
        <v>0</v>
      </c>
      <c r="K57" s="146">
        <v>1754456</v>
      </c>
      <c r="L57" s="146">
        <v>300000</v>
      </c>
      <c r="M57" s="146">
        <v>2054456</v>
      </c>
      <c r="N57" s="146">
        <v>55</v>
      </c>
      <c r="O57" s="143">
        <v>529.20000000000005</v>
      </c>
      <c r="P57" s="146">
        <v>12709</v>
      </c>
      <c r="Q57" s="146">
        <v>2067165</v>
      </c>
      <c r="R57" s="146">
        <v>114952</v>
      </c>
    </row>
    <row r="58" spans="1:18" x14ac:dyDescent="0.25">
      <c r="A58" s="61" t="s">
        <v>337</v>
      </c>
      <c r="B58" t="s">
        <v>62</v>
      </c>
      <c r="C58" t="s">
        <v>312</v>
      </c>
      <c r="D58" s="146">
        <v>582</v>
      </c>
      <c r="E58" s="146">
        <v>50</v>
      </c>
      <c r="F58" s="146">
        <v>632</v>
      </c>
      <c r="G58" s="146">
        <v>0</v>
      </c>
      <c r="H58" s="151">
        <v>3.6447658349999998</v>
      </c>
      <c r="I58" s="143">
        <v>2303.5</v>
      </c>
      <c r="J58" s="146">
        <v>0</v>
      </c>
      <c r="K58" s="146">
        <v>18832200</v>
      </c>
      <c r="L58" s="146">
        <v>0</v>
      </c>
      <c r="M58" s="146">
        <v>18832200</v>
      </c>
      <c r="N58" s="146">
        <v>194</v>
      </c>
      <c r="O58" s="143">
        <v>9216.1</v>
      </c>
      <c r="P58" s="146">
        <v>221337</v>
      </c>
      <c r="Q58" s="146">
        <v>19053537</v>
      </c>
      <c r="R58" s="146">
        <v>1053705</v>
      </c>
    </row>
    <row r="59" spans="1:18" x14ac:dyDescent="0.25">
      <c r="A59" s="61" t="s">
        <v>336</v>
      </c>
      <c r="B59" t="s">
        <v>63</v>
      </c>
      <c r="C59" t="s">
        <v>216</v>
      </c>
      <c r="D59" s="146">
        <v>1390</v>
      </c>
      <c r="E59" s="146">
        <v>85</v>
      </c>
      <c r="F59" s="146">
        <v>1475</v>
      </c>
      <c r="G59" s="146">
        <v>0</v>
      </c>
      <c r="H59" s="151">
        <v>1.0336302079999999</v>
      </c>
      <c r="I59" s="143">
        <v>1524.6</v>
      </c>
      <c r="J59" s="146">
        <v>0</v>
      </c>
      <c r="K59" s="146">
        <v>12464325</v>
      </c>
      <c r="L59" s="146">
        <v>0</v>
      </c>
      <c r="M59" s="146">
        <v>12464325</v>
      </c>
      <c r="N59" s="146">
        <v>749</v>
      </c>
      <c r="O59" s="143">
        <v>26437.8</v>
      </c>
      <c r="P59" s="146">
        <v>634940</v>
      </c>
      <c r="Q59" s="146">
        <v>13099265</v>
      </c>
      <c r="R59" s="146">
        <v>697407</v>
      </c>
    </row>
    <row r="60" spans="1:18" x14ac:dyDescent="0.25">
      <c r="A60" s="61" t="s">
        <v>335</v>
      </c>
      <c r="B60" t="s">
        <v>64</v>
      </c>
      <c r="C60" t="s">
        <v>216</v>
      </c>
      <c r="D60" s="146">
        <v>105</v>
      </c>
      <c r="E60" s="146">
        <v>10</v>
      </c>
      <c r="F60" s="146">
        <v>115</v>
      </c>
      <c r="G60" s="146">
        <v>0</v>
      </c>
      <c r="H60" s="151">
        <v>1.651459649</v>
      </c>
      <c r="I60" s="143">
        <v>189.9</v>
      </c>
      <c r="J60" s="146">
        <v>0</v>
      </c>
      <c r="K60" s="146">
        <v>1552522</v>
      </c>
      <c r="L60" s="146">
        <v>0</v>
      </c>
      <c r="M60" s="146">
        <v>1552522</v>
      </c>
      <c r="N60" s="146">
        <v>50</v>
      </c>
      <c r="O60" s="143">
        <v>4002</v>
      </c>
      <c r="P60" s="146">
        <v>96113</v>
      </c>
      <c r="Q60" s="146">
        <v>1648635</v>
      </c>
      <c r="R60" s="146">
        <v>86867</v>
      </c>
    </row>
    <row r="61" spans="1:18" x14ac:dyDescent="0.25">
      <c r="A61" s="61" t="s">
        <v>334</v>
      </c>
      <c r="B61" t="s">
        <v>65</v>
      </c>
      <c r="C61" t="s">
        <v>295</v>
      </c>
      <c r="D61" s="146">
        <v>20</v>
      </c>
      <c r="E61" s="146">
        <v>0</v>
      </c>
      <c r="F61" s="146">
        <v>20</v>
      </c>
      <c r="G61" s="146">
        <v>0</v>
      </c>
      <c r="H61" s="151">
        <v>0.84150000000000003</v>
      </c>
      <c r="I61" s="143">
        <v>16.8</v>
      </c>
      <c r="J61" s="146">
        <v>0</v>
      </c>
      <c r="K61" s="146">
        <v>137348</v>
      </c>
      <c r="L61" s="146">
        <v>0</v>
      </c>
      <c r="M61" s="146">
        <v>137348</v>
      </c>
      <c r="N61" s="146">
        <v>12</v>
      </c>
      <c r="O61" s="143">
        <v>288.7</v>
      </c>
      <c r="P61" s="146">
        <v>6934</v>
      </c>
      <c r="Q61" s="146">
        <v>144282</v>
      </c>
      <c r="R61" s="146">
        <v>7685</v>
      </c>
    </row>
    <row r="62" spans="1:18" x14ac:dyDescent="0.25">
      <c r="A62" s="61" t="s">
        <v>333</v>
      </c>
      <c r="B62" t="s">
        <v>147</v>
      </c>
      <c r="C62" t="s">
        <v>216</v>
      </c>
      <c r="D62" s="146">
        <v>33</v>
      </c>
      <c r="E62" s="146">
        <v>4</v>
      </c>
      <c r="F62" s="146">
        <v>37</v>
      </c>
      <c r="G62" s="146">
        <v>0</v>
      </c>
      <c r="H62" s="151">
        <v>0.383873099</v>
      </c>
      <c r="I62" s="143">
        <v>14.2</v>
      </c>
      <c r="J62" s="146">
        <v>0</v>
      </c>
      <c r="K62" s="146">
        <v>116092</v>
      </c>
      <c r="L62" s="146">
        <v>215000</v>
      </c>
      <c r="M62" s="146">
        <v>331092</v>
      </c>
      <c r="N62" s="146">
        <v>16</v>
      </c>
      <c r="O62" s="143">
        <v>171.1</v>
      </c>
      <c r="P62" s="146">
        <v>4109</v>
      </c>
      <c r="Q62" s="146">
        <v>335201</v>
      </c>
      <c r="R62" s="146">
        <v>18525</v>
      </c>
    </row>
    <row r="63" spans="1:18" x14ac:dyDescent="0.25">
      <c r="A63" s="61" t="s">
        <v>332</v>
      </c>
      <c r="B63" t="s">
        <v>163</v>
      </c>
      <c r="C63" t="s">
        <v>216</v>
      </c>
      <c r="D63" s="146">
        <v>0</v>
      </c>
      <c r="E63" s="146">
        <v>20</v>
      </c>
      <c r="F63" s="146">
        <v>20</v>
      </c>
      <c r="G63" s="146">
        <v>0</v>
      </c>
      <c r="H63" s="151">
        <v>0.315</v>
      </c>
      <c r="I63" s="143">
        <v>6.3</v>
      </c>
      <c r="J63" s="146">
        <v>0</v>
      </c>
      <c r="K63" s="146">
        <v>51505</v>
      </c>
      <c r="L63" s="146">
        <v>37500</v>
      </c>
      <c r="M63" s="146">
        <v>89005</v>
      </c>
      <c r="N63" s="146">
        <v>0</v>
      </c>
      <c r="O63" s="143">
        <v>0</v>
      </c>
      <c r="P63" s="146">
        <v>0</v>
      </c>
      <c r="Q63" s="146">
        <v>89005</v>
      </c>
      <c r="R63" s="146">
        <v>4980</v>
      </c>
    </row>
    <row r="64" spans="1:18" x14ac:dyDescent="0.25">
      <c r="A64" s="61" t="s">
        <v>331</v>
      </c>
      <c r="B64" t="s">
        <v>66</v>
      </c>
      <c r="C64" t="s">
        <v>249</v>
      </c>
      <c r="D64" s="146">
        <v>97</v>
      </c>
      <c r="E64" s="146">
        <v>3</v>
      </c>
      <c r="F64" s="146">
        <v>100</v>
      </c>
      <c r="G64" s="146">
        <v>0</v>
      </c>
      <c r="H64" s="151">
        <v>1.0034391979999999</v>
      </c>
      <c r="I64" s="143">
        <v>100.3</v>
      </c>
      <c r="J64" s="146">
        <v>0</v>
      </c>
      <c r="K64" s="146">
        <v>820000</v>
      </c>
      <c r="L64" s="146">
        <v>0</v>
      </c>
      <c r="M64" s="146">
        <v>820000</v>
      </c>
      <c r="N64" s="146">
        <v>41</v>
      </c>
      <c r="O64" s="143">
        <v>1732.1</v>
      </c>
      <c r="P64" s="146">
        <v>41599</v>
      </c>
      <c r="Q64" s="146">
        <v>861599</v>
      </c>
      <c r="R64" s="146">
        <v>45881</v>
      </c>
    </row>
    <row r="65" spans="1:18" x14ac:dyDescent="0.25">
      <c r="A65" s="61" t="s">
        <v>330</v>
      </c>
      <c r="B65" t="s">
        <v>67</v>
      </c>
      <c r="C65" t="s">
        <v>234</v>
      </c>
      <c r="D65" s="146">
        <v>2316</v>
      </c>
      <c r="E65" s="146">
        <v>283</v>
      </c>
      <c r="F65" s="146">
        <v>2599</v>
      </c>
      <c r="G65" s="146">
        <v>153</v>
      </c>
      <c r="H65" s="151">
        <v>1.083149127</v>
      </c>
      <c r="I65" s="143">
        <v>2815.1</v>
      </c>
      <c r="J65" s="146">
        <v>-209656</v>
      </c>
      <c r="K65" s="146">
        <v>22805116</v>
      </c>
      <c r="L65" s="146">
        <v>0</v>
      </c>
      <c r="M65" s="146">
        <v>22805116</v>
      </c>
      <c r="N65" s="146">
        <v>979</v>
      </c>
      <c r="O65" s="143">
        <v>53590</v>
      </c>
      <c r="P65" s="146">
        <v>1287036</v>
      </c>
      <c r="Q65" s="146">
        <v>24092152</v>
      </c>
      <c r="R65" s="146">
        <v>0</v>
      </c>
    </row>
    <row r="66" spans="1:18" x14ac:dyDescent="0.25">
      <c r="A66" s="61" t="s">
        <v>329</v>
      </c>
      <c r="B66" t="s">
        <v>68</v>
      </c>
      <c r="C66" t="s">
        <v>230</v>
      </c>
      <c r="D66" s="146">
        <v>5467</v>
      </c>
      <c r="E66" s="146">
        <v>599</v>
      </c>
      <c r="F66" s="146">
        <v>6066</v>
      </c>
      <c r="G66" s="146">
        <v>160</v>
      </c>
      <c r="H66" s="151">
        <v>1.028256552</v>
      </c>
      <c r="I66" s="143">
        <v>6237.4</v>
      </c>
      <c r="J66" s="146">
        <v>-464533</v>
      </c>
      <c r="K66" s="146">
        <v>50529157</v>
      </c>
      <c r="L66" s="146">
        <v>0</v>
      </c>
      <c r="M66" s="146">
        <v>50529157</v>
      </c>
      <c r="N66" s="146">
        <v>2589</v>
      </c>
      <c r="O66" s="143">
        <v>129709.1</v>
      </c>
      <c r="P66" s="146">
        <v>3115139</v>
      </c>
      <c r="Q66" s="146">
        <v>53644296</v>
      </c>
      <c r="R66" s="146">
        <v>0</v>
      </c>
    </row>
    <row r="67" spans="1:18" x14ac:dyDescent="0.25">
      <c r="A67" s="61" t="s">
        <v>328</v>
      </c>
      <c r="B67" t="s">
        <v>69</v>
      </c>
      <c r="C67" t="s">
        <v>312</v>
      </c>
      <c r="D67" s="146">
        <v>2145</v>
      </c>
      <c r="E67" s="146">
        <v>109</v>
      </c>
      <c r="F67" s="146">
        <v>2254</v>
      </c>
      <c r="G67" s="146">
        <v>80</v>
      </c>
      <c r="H67" s="151">
        <v>1.0332287099999999</v>
      </c>
      <c r="I67" s="143">
        <v>2328.9</v>
      </c>
      <c r="J67" s="146">
        <v>-173446</v>
      </c>
      <c r="K67" s="146">
        <v>18866411</v>
      </c>
      <c r="L67" s="146">
        <v>0</v>
      </c>
      <c r="M67" s="146">
        <v>18866411</v>
      </c>
      <c r="N67" s="146">
        <v>941</v>
      </c>
      <c r="O67" s="143">
        <v>46727.5</v>
      </c>
      <c r="P67" s="146">
        <v>1122224</v>
      </c>
      <c r="Q67" s="146">
        <v>19988635</v>
      </c>
      <c r="R67" s="146">
        <v>0</v>
      </c>
    </row>
    <row r="68" spans="1:18" x14ac:dyDescent="0.25">
      <c r="A68" s="61" t="s">
        <v>327</v>
      </c>
      <c r="B68" t="s">
        <v>70</v>
      </c>
      <c r="C68" t="s">
        <v>234</v>
      </c>
      <c r="D68" s="146">
        <v>77</v>
      </c>
      <c r="E68" s="146">
        <v>143</v>
      </c>
      <c r="F68" s="146">
        <v>220</v>
      </c>
      <c r="G68" s="146">
        <v>110</v>
      </c>
      <c r="H68" s="151">
        <v>0.80730263999999996</v>
      </c>
      <c r="I68" s="143">
        <v>177.6</v>
      </c>
      <c r="J68" s="146">
        <v>0</v>
      </c>
      <c r="K68" s="146">
        <v>1451964</v>
      </c>
      <c r="L68" s="146">
        <v>0</v>
      </c>
      <c r="M68" s="146">
        <v>1451964</v>
      </c>
      <c r="N68" s="146">
        <v>180</v>
      </c>
      <c r="O68" s="143">
        <v>5785.2</v>
      </c>
      <c r="P68" s="146">
        <v>138939</v>
      </c>
      <c r="Q68" s="146">
        <v>1590903</v>
      </c>
      <c r="R68" s="146">
        <v>81241</v>
      </c>
    </row>
    <row r="69" spans="1:18" x14ac:dyDescent="0.25">
      <c r="A69" s="61" t="s">
        <v>326</v>
      </c>
      <c r="B69" t="s">
        <v>71</v>
      </c>
      <c r="C69" t="s">
        <v>234</v>
      </c>
      <c r="D69" s="146">
        <v>2256</v>
      </c>
      <c r="E69" s="146">
        <v>185</v>
      </c>
      <c r="F69" s="146">
        <v>2441</v>
      </c>
      <c r="G69" s="146">
        <v>57</v>
      </c>
      <c r="H69" s="151">
        <v>1.0262990649999999</v>
      </c>
      <c r="I69" s="143">
        <v>2505.1999999999998</v>
      </c>
      <c r="J69" s="146">
        <v>-186576</v>
      </c>
      <c r="K69" s="146">
        <v>20294617</v>
      </c>
      <c r="L69" s="146">
        <v>90000</v>
      </c>
      <c r="M69" s="146">
        <v>20384617</v>
      </c>
      <c r="N69" s="146">
        <v>987</v>
      </c>
      <c r="O69" s="143">
        <v>51691.6</v>
      </c>
      <c r="P69" s="146">
        <v>1241444</v>
      </c>
      <c r="Q69" s="146">
        <v>21626061</v>
      </c>
      <c r="R69" s="146">
        <v>0</v>
      </c>
    </row>
    <row r="70" spans="1:18" x14ac:dyDescent="0.25">
      <c r="A70" s="61" t="s">
        <v>322</v>
      </c>
      <c r="B70" t="s">
        <v>72</v>
      </c>
      <c r="C70" t="s">
        <v>224</v>
      </c>
      <c r="D70" s="146">
        <v>82</v>
      </c>
      <c r="E70" s="146">
        <v>35</v>
      </c>
      <c r="F70" s="146">
        <v>117</v>
      </c>
      <c r="G70" s="146">
        <v>25</v>
      </c>
      <c r="H70" s="151">
        <v>0.82664744599999995</v>
      </c>
      <c r="I70" s="143">
        <v>96.7</v>
      </c>
      <c r="J70" s="146">
        <v>0</v>
      </c>
      <c r="K70" s="146">
        <v>790568</v>
      </c>
      <c r="L70" s="146">
        <v>0</v>
      </c>
      <c r="M70" s="146">
        <v>790568</v>
      </c>
      <c r="N70" s="146">
        <v>44</v>
      </c>
      <c r="O70" s="143">
        <v>928.9</v>
      </c>
      <c r="P70" s="146">
        <v>22309</v>
      </c>
      <c r="Q70" s="146">
        <v>812877</v>
      </c>
      <c r="R70" s="146">
        <v>44234</v>
      </c>
    </row>
    <row r="71" spans="1:18" x14ac:dyDescent="0.25">
      <c r="A71" s="61" t="s">
        <v>321</v>
      </c>
      <c r="B71" t="s">
        <v>73</v>
      </c>
      <c r="C71" t="s">
        <v>220</v>
      </c>
      <c r="D71" s="146">
        <v>52</v>
      </c>
      <c r="E71" s="146">
        <v>0</v>
      </c>
      <c r="F71" s="146">
        <v>52</v>
      </c>
      <c r="G71" s="146">
        <v>0</v>
      </c>
      <c r="H71" s="151">
        <v>1.598785047</v>
      </c>
      <c r="I71" s="143">
        <v>83.1</v>
      </c>
      <c r="J71" s="146">
        <v>0</v>
      </c>
      <c r="K71" s="146">
        <v>679382</v>
      </c>
      <c r="L71" s="146">
        <v>0</v>
      </c>
      <c r="M71" s="146">
        <v>679382</v>
      </c>
      <c r="N71" s="146">
        <v>19</v>
      </c>
      <c r="O71" s="143">
        <v>1745.8</v>
      </c>
      <c r="P71" s="146">
        <v>41928</v>
      </c>
      <c r="Q71" s="146">
        <v>721310</v>
      </c>
      <c r="R71" s="146">
        <v>38013</v>
      </c>
    </row>
    <row r="72" spans="1:18" x14ac:dyDescent="0.25">
      <c r="A72" s="61" t="s">
        <v>320</v>
      </c>
      <c r="B72" t="s">
        <v>74</v>
      </c>
      <c r="C72" t="s">
        <v>220</v>
      </c>
      <c r="D72" s="146">
        <v>90</v>
      </c>
      <c r="E72" s="146">
        <v>4</v>
      </c>
      <c r="F72" s="146">
        <v>94</v>
      </c>
      <c r="G72" s="146">
        <v>0</v>
      </c>
      <c r="H72" s="151">
        <v>1.0712529740000001</v>
      </c>
      <c r="I72" s="143">
        <v>100.7</v>
      </c>
      <c r="J72" s="146">
        <v>0</v>
      </c>
      <c r="K72" s="146">
        <v>823270</v>
      </c>
      <c r="L72" s="146">
        <v>0</v>
      </c>
      <c r="M72" s="146">
        <v>823270</v>
      </c>
      <c r="N72" s="146">
        <v>32</v>
      </c>
      <c r="O72" s="143">
        <v>2067.1</v>
      </c>
      <c r="P72" s="146">
        <v>49644</v>
      </c>
      <c r="Q72" s="146">
        <v>872914</v>
      </c>
      <c r="R72" s="146">
        <v>46064</v>
      </c>
    </row>
    <row r="73" spans="1:18" x14ac:dyDescent="0.25">
      <c r="A73" s="61" t="s">
        <v>319</v>
      </c>
      <c r="B73" t="s">
        <v>75</v>
      </c>
      <c r="C73" t="s">
        <v>249</v>
      </c>
      <c r="D73" s="146">
        <v>139</v>
      </c>
      <c r="E73" s="146">
        <v>10</v>
      </c>
      <c r="F73" s="146">
        <v>149</v>
      </c>
      <c r="G73" s="146">
        <v>0</v>
      </c>
      <c r="H73" s="151">
        <v>1.2617277309999999</v>
      </c>
      <c r="I73" s="143">
        <v>188</v>
      </c>
      <c r="J73" s="146">
        <v>0</v>
      </c>
      <c r="K73" s="146">
        <v>1536989</v>
      </c>
      <c r="L73" s="146">
        <v>0</v>
      </c>
      <c r="M73" s="146">
        <v>1536989</v>
      </c>
      <c r="N73" s="146">
        <v>93</v>
      </c>
      <c r="O73" s="143">
        <v>5412.9</v>
      </c>
      <c r="P73" s="146">
        <v>129998</v>
      </c>
      <c r="Q73" s="146">
        <v>1666987</v>
      </c>
      <c r="R73" s="146">
        <v>85998</v>
      </c>
    </row>
    <row r="74" spans="1:18" x14ac:dyDescent="0.25">
      <c r="A74" s="61" t="s">
        <v>317</v>
      </c>
      <c r="B74" t="s">
        <v>164</v>
      </c>
      <c r="C74" t="s">
        <v>222</v>
      </c>
      <c r="D74" s="146">
        <v>32</v>
      </c>
      <c r="E74" s="146">
        <v>1</v>
      </c>
      <c r="F74" s="146">
        <v>33</v>
      </c>
      <c r="G74" s="146">
        <v>0</v>
      </c>
      <c r="H74" s="151">
        <v>1.0455000000000001</v>
      </c>
      <c r="I74" s="143">
        <v>34.5</v>
      </c>
      <c r="J74" s="146">
        <v>-2569</v>
      </c>
      <c r="K74" s="146">
        <v>279485</v>
      </c>
      <c r="L74" s="146">
        <v>0</v>
      </c>
      <c r="M74" s="146">
        <v>279485</v>
      </c>
      <c r="N74" s="146">
        <v>13</v>
      </c>
      <c r="O74" s="143">
        <v>571.20000000000005</v>
      </c>
      <c r="P74" s="146">
        <v>13718</v>
      </c>
      <c r="Q74" s="146">
        <v>293203</v>
      </c>
      <c r="R74" s="146">
        <v>0</v>
      </c>
    </row>
    <row r="75" spans="1:18" x14ac:dyDescent="0.25">
      <c r="A75" s="61" t="s">
        <v>361</v>
      </c>
      <c r="B75" t="s">
        <v>76</v>
      </c>
      <c r="C75" t="s">
        <v>216</v>
      </c>
      <c r="D75" s="146">
        <v>37</v>
      </c>
      <c r="E75" s="146">
        <v>0</v>
      </c>
      <c r="F75" s="146">
        <v>37</v>
      </c>
      <c r="G75" s="146">
        <v>0</v>
      </c>
      <c r="H75" s="151">
        <v>0.84150000000000003</v>
      </c>
      <c r="I75" s="143">
        <v>31.1</v>
      </c>
      <c r="J75" s="146">
        <v>0</v>
      </c>
      <c r="K75" s="146">
        <v>254257</v>
      </c>
      <c r="L75" s="146">
        <v>0</v>
      </c>
      <c r="M75" s="146">
        <v>254257</v>
      </c>
      <c r="N75" s="146">
        <v>39</v>
      </c>
      <c r="O75" s="143">
        <v>834</v>
      </c>
      <c r="P75" s="146">
        <v>20030</v>
      </c>
      <c r="Q75" s="146">
        <v>274287</v>
      </c>
      <c r="R75" s="146">
        <v>14226</v>
      </c>
    </row>
    <row r="76" spans="1:18" x14ac:dyDescent="0.25">
      <c r="A76" s="61" t="s">
        <v>316</v>
      </c>
      <c r="B76" t="s">
        <v>77</v>
      </c>
      <c r="C76" t="s">
        <v>230</v>
      </c>
      <c r="D76" s="146">
        <v>27</v>
      </c>
      <c r="E76" s="146">
        <v>1</v>
      </c>
      <c r="F76" s="146">
        <v>28</v>
      </c>
      <c r="G76" s="146">
        <v>0</v>
      </c>
      <c r="H76" s="151">
        <v>0.84150000000000003</v>
      </c>
      <c r="I76" s="143">
        <v>23.6</v>
      </c>
      <c r="J76" s="146">
        <v>0</v>
      </c>
      <c r="K76" s="146">
        <v>192941</v>
      </c>
      <c r="L76" s="146">
        <v>0</v>
      </c>
      <c r="M76" s="146">
        <v>192941</v>
      </c>
      <c r="N76" s="146">
        <v>25</v>
      </c>
      <c r="O76" s="143">
        <v>588.1</v>
      </c>
      <c r="P76" s="146">
        <v>14124</v>
      </c>
      <c r="Q76" s="146">
        <v>207065</v>
      </c>
      <c r="R76" s="146">
        <v>10795</v>
      </c>
    </row>
    <row r="77" spans="1:18" x14ac:dyDescent="0.25">
      <c r="A77" s="61" t="s">
        <v>315</v>
      </c>
      <c r="B77" t="s">
        <v>78</v>
      </c>
      <c r="C77" t="s">
        <v>230</v>
      </c>
      <c r="D77" s="146">
        <v>43</v>
      </c>
      <c r="E77" s="146">
        <v>0</v>
      </c>
      <c r="F77" s="146">
        <v>43</v>
      </c>
      <c r="G77" s="146">
        <v>0</v>
      </c>
      <c r="H77" s="151">
        <v>1.4703514820000001</v>
      </c>
      <c r="I77" s="143">
        <v>63.2</v>
      </c>
      <c r="J77" s="146">
        <v>0</v>
      </c>
      <c r="K77" s="146">
        <v>516690</v>
      </c>
      <c r="L77" s="146">
        <v>0</v>
      </c>
      <c r="M77" s="146">
        <v>516690</v>
      </c>
      <c r="N77" s="146">
        <v>18</v>
      </c>
      <c r="O77" s="143">
        <v>1717.2</v>
      </c>
      <c r="P77" s="146">
        <v>41241</v>
      </c>
      <c r="Q77" s="146">
        <v>557931</v>
      </c>
      <c r="R77" s="146">
        <v>28910</v>
      </c>
    </row>
    <row r="78" spans="1:18" x14ac:dyDescent="0.25">
      <c r="A78" s="61" t="s">
        <v>314</v>
      </c>
      <c r="B78" t="s">
        <v>182</v>
      </c>
      <c r="C78" t="s">
        <v>295</v>
      </c>
      <c r="D78" s="146">
        <v>7</v>
      </c>
      <c r="E78" s="146">
        <v>0</v>
      </c>
      <c r="F78" s="146">
        <v>7</v>
      </c>
      <c r="G78" s="146">
        <v>0</v>
      </c>
      <c r="H78" s="151">
        <v>0.84150000000000003</v>
      </c>
      <c r="I78" s="143">
        <v>5.9</v>
      </c>
      <c r="J78" s="146">
        <v>0</v>
      </c>
      <c r="K78" s="146">
        <v>48235</v>
      </c>
      <c r="L78" s="146">
        <v>0</v>
      </c>
      <c r="M78" s="146">
        <v>48235</v>
      </c>
      <c r="N78" s="146">
        <v>7</v>
      </c>
      <c r="O78" s="143">
        <v>139</v>
      </c>
      <c r="P78" s="146">
        <v>3338</v>
      </c>
      <c r="Q78" s="146">
        <v>51573</v>
      </c>
      <c r="R78" s="146">
        <v>2699</v>
      </c>
    </row>
    <row r="79" spans="1:18" x14ac:dyDescent="0.25">
      <c r="A79" s="61" t="s">
        <v>313</v>
      </c>
      <c r="B79" t="s">
        <v>79</v>
      </c>
      <c r="C79" t="s">
        <v>312</v>
      </c>
      <c r="D79" s="146">
        <v>1130</v>
      </c>
      <c r="E79" s="146">
        <v>98</v>
      </c>
      <c r="F79" s="146">
        <v>1228</v>
      </c>
      <c r="G79" s="146">
        <v>50</v>
      </c>
      <c r="H79" s="151">
        <v>0.97246781999999998</v>
      </c>
      <c r="I79" s="143">
        <v>1194.2</v>
      </c>
      <c r="J79" s="146">
        <v>-88938</v>
      </c>
      <c r="K79" s="146">
        <v>9674211</v>
      </c>
      <c r="L79" s="146">
        <v>90000</v>
      </c>
      <c r="M79" s="146">
        <v>9764211</v>
      </c>
      <c r="N79" s="146">
        <v>528</v>
      </c>
      <c r="O79" s="143">
        <v>22748.400000000001</v>
      </c>
      <c r="P79" s="146">
        <v>546334</v>
      </c>
      <c r="Q79" s="146">
        <v>10310545</v>
      </c>
      <c r="R79" s="146">
        <v>0</v>
      </c>
    </row>
    <row r="80" spans="1:18" x14ac:dyDescent="0.25">
      <c r="A80" s="61" t="s">
        <v>311</v>
      </c>
      <c r="B80" t="s">
        <v>80</v>
      </c>
      <c r="C80" t="s">
        <v>232</v>
      </c>
      <c r="D80" s="146">
        <v>1604</v>
      </c>
      <c r="E80" s="146">
        <v>90</v>
      </c>
      <c r="F80" s="146">
        <v>1694</v>
      </c>
      <c r="G80" s="146">
        <v>65</v>
      </c>
      <c r="H80" s="151">
        <v>1.086680203</v>
      </c>
      <c r="I80" s="143">
        <v>1840.8</v>
      </c>
      <c r="J80" s="146">
        <v>-137094</v>
      </c>
      <c r="K80" s="146">
        <v>14912315</v>
      </c>
      <c r="L80" s="146">
        <v>0</v>
      </c>
      <c r="M80" s="146">
        <v>14912315</v>
      </c>
      <c r="N80" s="146">
        <v>612</v>
      </c>
      <c r="O80" s="143">
        <v>32427.5</v>
      </c>
      <c r="P80" s="146">
        <v>778790</v>
      </c>
      <c r="Q80" s="146">
        <v>15691105</v>
      </c>
      <c r="R80" s="146">
        <v>0</v>
      </c>
    </row>
    <row r="81" spans="1:18" x14ac:dyDescent="0.25">
      <c r="A81" s="61" t="s">
        <v>310</v>
      </c>
      <c r="B81" t="s">
        <v>81</v>
      </c>
      <c r="C81" t="s">
        <v>216</v>
      </c>
      <c r="D81" s="146">
        <v>2470</v>
      </c>
      <c r="E81" s="146">
        <v>220</v>
      </c>
      <c r="F81" s="146">
        <v>2690</v>
      </c>
      <c r="G81" s="146">
        <v>80</v>
      </c>
      <c r="H81" s="151">
        <v>1.0471160399999999</v>
      </c>
      <c r="I81" s="143">
        <v>2816.7</v>
      </c>
      <c r="J81" s="146">
        <v>-209775</v>
      </c>
      <c r="K81" s="146">
        <v>22818077</v>
      </c>
      <c r="L81" s="146">
        <v>0</v>
      </c>
      <c r="M81" s="146">
        <v>22818077</v>
      </c>
      <c r="N81" s="146">
        <v>985</v>
      </c>
      <c r="O81" s="143">
        <v>50245.1</v>
      </c>
      <c r="P81" s="146">
        <v>1206704</v>
      </c>
      <c r="Q81" s="146">
        <v>24024781</v>
      </c>
      <c r="R81" s="146">
        <v>0</v>
      </c>
    </row>
    <row r="82" spans="1:18" x14ac:dyDescent="0.25">
      <c r="A82" s="61" t="s">
        <v>309</v>
      </c>
      <c r="B82" t="s">
        <v>82</v>
      </c>
      <c r="C82" t="s">
        <v>265</v>
      </c>
      <c r="D82" s="146">
        <v>4312</v>
      </c>
      <c r="E82" s="146">
        <v>716</v>
      </c>
      <c r="F82" s="146">
        <v>5028</v>
      </c>
      <c r="G82" s="146">
        <v>470</v>
      </c>
      <c r="H82" s="151">
        <v>1.0257955439999999</v>
      </c>
      <c r="I82" s="143">
        <v>5157.7</v>
      </c>
      <c r="J82" s="146">
        <v>0</v>
      </c>
      <c r="K82" s="146">
        <v>42166632</v>
      </c>
      <c r="L82" s="146">
        <v>60000</v>
      </c>
      <c r="M82" s="146">
        <v>42226632</v>
      </c>
      <c r="N82" s="146">
        <v>2030</v>
      </c>
      <c r="O82" s="143">
        <v>92121</v>
      </c>
      <c r="P82" s="146">
        <v>2212410</v>
      </c>
      <c r="Q82" s="146">
        <v>44439042</v>
      </c>
      <c r="R82" s="146">
        <v>2362677</v>
      </c>
    </row>
    <row r="83" spans="1:18" x14ac:dyDescent="0.25">
      <c r="A83" s="61" t="s">
        <v>307</v>
      </c>
      <c r="B83" t="s">
        <v>83</v>
      </c>
      <c r="C83" t="s">
        <v>216</v>
      </c>
      <c r="D83" s="146">
        <v>199</v>
      </c>
      <c r="E83" s="146">
        <v>15</v>
      </c>
      <c r="F83" s="146">
        <v>214</v>
      </c>
      <c r="G83" s="146">
        <v>0</v>
      </c>
      <c r="H83" s="151">
        <v>0.99348329800000001</v>
      </c>
      <c r="I83" s="143">
        <v>212.6</v>
      </c>
      <c r="J83" s="146">
        <v>0</v>
      </c>
      <c r="K83" s="146">
        <v>1738105</v>
      </c>
      <c r="L83" s="146">
        <v>0</v>
      </c>
      <c r="M83" s="146">
        <v>1738105</v>
      </c>
      <c r="N83" s="146">
        <v>79</v>
      </c>
      <c r="O83" s="143">
        <v>3556.9</v>
      </c>
      <c r="P83" s="146">
        <v>85424</v>
      </c>
      <c r="Q83" s="146">
        <v>1823529</v>
      </c>
      <c r="R83" s="146">
        <v>97251</v>
      </c>
    </row>
    <row r="84" spans="1:18" x14ac:dyDescent="0.25">
      <c r="A84" s="61" t="s">
        <v>303</v>
      </c>
      <c r="B84" t="s">
        <v>84</v>
      </c>
      <c r="C84" t="s">
        <v>216</v>
      </c>
      <c r="D84" s="146">
        <v>73</v>
      </c>
      <c r="E84" s="146">
        <v>0</v>
      </c>
      <c r="F84" s="146">
        <v>73</v>
      </c>
      <c r="G84" s="146">
        <v>0</v>
      </c>
      <c r="H84" s="151">
        <v>0.62969785899999997</v>
      </c>
      <c r="I84" s="143">
        <v>46</v>
      </c>
      <c r="J84" s="146">
        <v>0</v>
      </c>
      <c r="K84" s="146">
        <v>376072</v>
      </c>
      <c r="L84" s="146">
        <v>0</v>
      </c>
      <c r="M84" s="146">
        <v>376072</v>
      </c>
      <c r="N84" s="146">
        <v>71</v>
      </c>
      <c r="O84" s="143">
        <v>659.6</v>
      </c>
      <c r="P84" s="146">
        <v>15841</v>
      </c>
      <c r="Q84" s="146">
        <v>391913</v>
      </c>
      <c r="R84" s="146">
        <v>21042</v>
      </c>
    </row>
    <row r="85" spans="1:18" x14ac:dyDescent="0.25">
      <c r="A85" s="61" t="s">
        <v>450</v>
      </c>
      <c r="B85" t="s">
        <v>85</v>
      </c>
      <c r="C85" t="s">
        <v>216</v>
      </c>
      <c r="D85" s="146">
        <v>953</v>
      </c>
      <c r="E85" s="146">
        <v>70</v>
      </c>
      <c r="F85" s="146">
        <v>1023</v>
      </c>
      <c r="G85" s="146">
        <v>0</v>
      </c>
      <c r="H85" s="151">
        <v>0.64765676000000005</v>
      </c>
      <c r="I85" s="143">
        <v>662.6</v>
      </c>
      <c r="J85" s="146">
        <v>0</v>
      </c>
      <c r="K85" s="146">
        <v>5417068</v>
      </c>
      <c r="L85" s="146">
        <v>500000</v>
      </c>
      <c r="M85" s="146">
        <v>5917068</v>
      </c>
      <c r="N85" s="146">
        <v>622</v>
      </c>
      <c r="O85" s="143">
        <v>10152.9</v>
      </c>
      <c r="P85" s="146">
        <v>243836</v>
      </c>
      <c r="Q85" s="146">
        <v>6160904</v>
      </c>
      <c r="R85" s="146">
        <v>331073</v>
      </c>
    </row>
    <row r="86" spans="1:18" x14ac:dyDescent="0.25">
      <c r="A86" s="61" t="s">
        <v>305</v>
      </c>
      <c r="B86" t="s">
        <v>86</v>
      </c>
      <c r="C86" t="s">
        <v>224</v>
      </c>
      <c r="D86" s="146">
        <v>153</v>
      </c>
      <c r="E86" s="146">
        <v>57</v>
      </c>
      <c r="F86" s="146">
        <v>210</v>
      </c>
      <c r="G86" s="146">
        <v>50</v>
      </c>
      <c r="H86" s="151">
        <v>1.011928545</v>
      </c>
      <c r="I86" s="143">
        <v>212.5</v>
      </c>
      <c r="J86" s="146">
        <v>0</v>
      </c>
      <c r="K86" s="146">
        <v>1737288</v>
      </c>
      <c r="L86" s="146">
        <v>0</v>
      </c>
      <c r="M86" s="146">
        <v>1737288</v>
      </c>
      <c r="N86" s="146">
        <v>127</v>
      </c>
      <c r="O86" s="143">
        <v>5627.6</v>
      </c>
      <c r="P86" s="146">
        <v>135154</v>
      </c>
      <c r="Q86" s="146">
        <v>1872442</v>
      </c>
      <c r="R86" s="146">
        <v>97205</v>
      </c>
    </row>
    <row r="87" spans="1:18" x14ac:dyDescent="0.25">
      <c r="A87" s="61" t="s">
        <v>304</v>
      </c>
      <c r="B87" t="s">
        <v>165</v>
      </c>
      <c r="C87" t="s">
        <v>232</v>
      </c>
      <c r="D87" s="146">
        <v>0</v>
      </c>
      <c r="E87" s="146">
        <v>8</v>
      </c>
      <c r="F87" s="146">
        <v>8</v>
      </c>
      <c r="G87" s="146">
        <v>0</v>
      </c>
      <c r="H87" s="151">
        <v>1</v>
      </c>
      <c r="I87" s="143">
        <v>8</v>
      </c>
      <c r="J87" s="146">
        <v>0</v>
      </c>
      <c r="K87" s="146">
        <v>65404</v>
      </c>
      <c r="L87" s="146">
        <v>0</v>
      </c>
      <c r="M87" s="146">
        <v>65404</v>
      </c>
      <c r="N87" s="146">
        <v>0</v>
      </c>
      <c r="O87" s="143">
        <v>0</v>
      </c>
      <c r="P87" s="146">
        <v>0</v>
      </c>
      <c r="Q87" s="146">
        <v>65404</v>
      </c>
      <c r="R87" s="146">
        <v>3659</v>
      </c>
    </row>
    <row r="88" spans="1:18" x14ac:dyDescent="0.25">
      <c r="A88" s="61" t="s">
        <v>301</v>
      </c>
      <c r="B88" t="s">
        <v>183</v>
      </c>
      <c r="C88" t="s">
        <v>216</v>
      </c>
      <c r="D88" s="146">
        <v>0</v>
      </c>
      <c r="E88" s="146">
        <v>114</v>
      </c>
      <c r="F88" s="146">
        <v>114</v>
      </c>
      <c r="G88" s="146">
        <v>0</v>
      </c>
      <c r="H88" s="151">
        <v>0.315</v>
      </c>
      <c r="I88" s="143">
        <v>35.9</v>
      </c>
      <c r="J88" s="146">
        <v>0</v>
      </c>
      <c r="K88" s="146">
        <v>293499</v>
      </c>
      <c r="L88" s="146">
        <v>0</v>
      </c>
      <c r="M88" s="146">
        <v>293499</v>
      </c>
      <c r="N88" s="146">
        <v>0</v>
      </c>
      <c r="O88" s="143">
        <v>0</v>
      </c>
      <c r="P88" s="146">
        <v>0</v>
      </c>
      <c r="Q88" s="146">
        <v>293499</v>
      </c>
      <c r="R88" s="146">
        <v>16422</v>
      </c>
    </row>
    <row r="89" spans="1:18" x14ac:dyDescent="0.25">
      <c r="A89" s="61" t="s">
        <v>300</v>
      </c>
      <c r="B89" t="s">
        <v>435</v>
      </c>
      <c r="C89" t="s">
        <v>216</v>
      </c>
      <c r="D89" s="146">
        <v>0</v>
      </c>
      <c r="E89" s="146">
        <v>30</v>
      </c>
      <c r="F89" s="146">
        <v>30</v>
      </c>
      <c r="G89" s="146">
        <v>0</v>
      </c>
      <c r="H89" s="151">
        <v>0.57845454500000004</v>
      </c>
      <c r="I89" s="143">
        <v>17.399999999999999</v>
      </c>
      <c r="J89" s="146">
        <v>0</v>
      </c>
      <c r="K89" s="146">
        <v>142253</v>
      </c>
      <c r="L89" s="146">
        <v>0</v>
      </c>
      <c r="M89" s="146">
        <v>142253</v>
      </c>
      <c r="N89" s="146">
        <v>0</v>
      </c>
      <c r="O89" s="143">
        <v>0</v>
      </c>
      <c r="P89" s="146">
        <v>0</v>
      </c>
      <c r="Q89" s="146">
        <v>142253</v>
      </c>
      <c r="R89" s="146">
        <v>7959</v>
      </c>
    </row>
    <row r="90" spans="1:18" x14ac:dyDescent="0.25">
      <c r="A90" s="61" t="s">
        <v>299</v>
      </c>
      <c r="B90" t="s">
        <v>87</v>
      </c>
      <c r="C90" t="s">
        <v>222</v>
      </c>
      <c r="D90" s="146">
        <v>1198</v>
      </c>
      <c r="E90" s="146">
        <v>88</v>
      </c>
      <c r="F90" s="146">
        <v>1286</v>
      </c>
      <c r="G90" s="146">
        <v>26</v>
      </c>
      <c r="H90" s="151">
        <v>1.302371572</v>
      </c>
      <c r="I90" s="143">
        <v>1674.8</v>
      </c>
      <c r="J90" s="146">
        <v>-124731</v>
      </c>
      <c r="K90" s="146">
        <v>13567550</v>
      </c>
      <c r="L90" s="146">
        <v>0</v>
      </c>
      <c r="M90" s="146">
        <v>13567550</v>
      </c>
      <c r="N90" s="146">
        <v>535</v>
      </c>
      <c r="O90" s="143">
        <v>29287</v>
      </c>
      <c r="P90" s="146">
        <v>703367</v>
      </c>
      <c r="Q90" s="146">
        <v>14270917</v>
      </c>
      <c r="R90" s="146">
        <v>0</v>
      </c>
    </row>
    <row r="91" spans="1:18" x14ac:dyDescent="0.25">
      <c r="A91" s="61" t="s">
        <v>298</v>
      </c>
      <c r="B91" t="s">
        <v>88</v>
      </c>
      <c r="C91" t="s">
        <v>224</v>
      </c>
      <c r="D91" s="146">
        <v>43</v>
      </c>
      <c r="E91" s="146">
        <v>2</v>
      </c>
      <c r="F91" s="146">
        <v>45</v>
      </c>
      <c r="G91" s="146">
        <v>0</v>
      </c>
      <c r="H91" s="151">
        <v>1.323389873</v>
      </c>
      <c r="I91" s="143">
        <v>59.6</v>
      </c>
      <c r="J91" s="146">
        <v>-4439</v>
      </c>
      <c r="K91" s="146">
        <v>482819</v>
      </c>
      <c r="L91" s="146">
        <v>0</v>
      </c>
      <c r="M91" s="146">
        <v>482819</v>
      </c>
      <c r="N91" s="146">
        <v>20</v>
      </c>
      <c r="O91" s="143">
        <v>2117.9</v>
      </c>
      <c r="P91" s="146">
        <v>50864</v>
      </c>
      <c r="Q91" s="146">
        <v>533683</v>
      </c>
      <c r="R91" s="146">
        <v>0</v>
      </c>
    </row>
    <row r="92" spans="1:18" x14ac:dyDescent="0.25">
      <c r="A92" s="61" t="s">
        <v>297</v>
      </c>
      <c r="B92" t="s">
        <v>89</v>
      </c>
      <c r="C92" t="s">
        <v>224</v>
      </c>
      <c r="D92" s="146">
        <v>6829</v>
      </c>
      <c r="E92" s="146">
        <v>843</v>
      </c>
      <c r="F92" s="146">
        <v>7672</v>
      </c>
      <c r="G92" s="146">
        <v>450</v>
      </c>
      <c r="H92" s="151">
        <v>1.0706407920000001</v>
      </c>
      <c r="I92" s="143">
        <v>8214</v>
      </c>
      <c r="J92" s="146">
        <v>-611741</v>
      </c>
      <c r="K92" s="146">
        <v>66541587</v>
      </c>
      <c r="L92" s="146">
        <v>0</v>
      </c>
      <c r="M92" s="146">
        <v>66541587</v>
      </c>
      <c r="N92" s="146">
        <v>3087</v>
      </c>
      <c r="O92" s="143">
        <v>155361</v>
      </c>
      <c r="P92" s="146">
        <v>3731204</v>
      </c>
      <c r="Q92" s="146">
        <v>70272791</v>
      </c>
      <c r="R92" s="146">
        <v>0</v>
      </c>
    </row>
    <row r="93" spans="1:18" x14ac:dyDescent="0.25">
      <c r="A93" s="61" t="s">
        <v>294</v>
      </c>
      <c r="B93" t="s">
        <v>90</v>
      </c>
      <c r="C93" t="s">
        <v>216</v>
      </c>
      <c r="D93" s="146">
        <v>45</v>
      </c>
      <c r="E93" s="146">
        <v>0</v>
      </c>
      <c r="F93" s="146">
        <v>45</v>
      </c>
      <c r="G93" s="146">
        <v>0</v>
      </c>
      <c r="H93" s="151">
        <v>1.198246701</v>
      </c>
      <c r="I93" s="143">
        <v>53.9</v>
      </c>
      <c r="J93" s="146">
        <v>0</v>
      </c>
      <c r="K93" s="146">
        <v>440658</v>
      </c>
      <c r="L93" s="146">
        <v>0</v>
      </c>
      <c r="M93" s="146">
        <v>440658</v>
      </c>
      <c r="N93" s="146">
        <v>9</v>
      </c>
      <c r="O93" s="143">
        <v>797</v>
      </c>
      <c r="P93" s="146">
        <v>19141</v>
      </c>
      <c r="Q93" s="146">
        <v>459799</v>
      </c>
      <c r="R93" s="146">
        <v>24656</v>
      </c>
    </row>
    <row r="94" spans="1:18" x14ac:dyDescent="0.25">
      <c r="A94" s="61" t="s">
        <v>293</v>
      </c>
      <c r="B94" t="s">
        <v>91</v>
      </c>
      <c r="C94" t="s">
        <v>216</v>
      </c>
      <c r="D94" s="146">
        <v>81</v>
      </c>
      <c r="E94" s="146">
        <v>5</v>
      </c>
      <c r="F94" s="146">
        <v>86</v>
      </c>
      <c r="G94" s="146">
        <v>0</v>
      </c>
      <c r="H94" s="151">
        <v>0.88694674100000004</v>
      </c>
      <c r="I94" s="143">
        <v>76.3</v>
      </c>
      <c r="J94" s="146">
        <v>0</v>
      </c>
      <c r="K94" s="146">
        <v>623789</v>
      </c>
      <c r="L94" s="146">
        <v>0</v>
      </c>
      <c r="M94" s="146">
        <v>623789</v>
      </c>
      <c r="N94" s="146">
        <v>82</v>
      </c>
      <c r="O94" s="143">
        <v>1593.1</v>
      </c>
      <c r="P94" s="146">
        <v>38260</v>
      </c>
      <c r="Q94" s="146">
        <v>662049</v>
      </c>
      <c r="R94" s="146">
        <v>34902</v>
      </c>
    </row>
    <row r="95" spans="1:18" x14ac:dyDescent="0.25">
      <c r="A95" s="61" t="s">
        <v>292</v>
      </c>
      <c r="B95" t="s">
        <v>92</v>
      </c>
      <c r="C95" t="s">
        <v>216</v>
      </c>
      <c r="D95" s="146">
        <v>47</v>
      </c>
      <c r="E95" s="146">
        <v>15</v>
      </c>
      <c r="F95" s="146">
        <v>62</v>
      </c>
      <c r="G95" s="146">
        <v>0</v>
      </c>
      <c r="H95" s="151">
        <v>0.91336991899999997</v>
      </c>
      <c r="I95" s="143">
        <v>56.6</v>
      </c>
      <c r="J95" s="146">
        <v>0</v>
      </c>
      <c r="K95" s="146">
        <v>462732</v>
      </c>
      <c r="L95" s="146">
        <v>0</v>
      </c>
      <c r="M95" s="146">
        <v>462732</v>
      </c>
      <c r="N95" s="146">
        <v>83</v>
      </c>
      <c r="O95" s="143">
        <v>1776.5</v>
      </c>
      <c r="P95" s="146">
        <v>42665</v>
      </c>
      <c r="Q95" s="146">
        <v>505397</v>
      </c>
      <c r="R95" s="146">
        <v>25891</v>
      </c>
    </row>
    <row r="96" spans="1:18" x14ac:dyDescent="0.25">
      <c r="A96" s="61" t="s">
        <v>291</v>
      </c>
      <c r="B96" t="s">
        <v>93</v>
      </c>
      <c r="C96" t="s">
        <v>232</v>
      </c>
      <c r="D96" s="146">
        <v>945</v>
      </c>
      <c r="E96" s="146">
        <v>39</v>
      </c>
      <c r="F96" s="146">
        <v>984</v>
      </c>
      <c r="G96" s="146">
        <v>10</v>
      </c>
      <c r="H96" s="151">
        <v>1.2141770110000001</v>
      </c>
      <c r="I96" s="143">
        <v>1194.8</v>
      </c>
      <c r="J96" s="146">
        <v>-88983</v>
      </c>
      <c r="K96" s="146">
        <v>9679071</v>
      </c>
      <c r="L96" s="146">
        <v>0</v>
      </c>
      <c r="M96" s="146">
        <v>9679071</v>
      </c>
      <c r="N96" s="146">
        <v>412</v>
      </c>
      <c r="O96" s="143">
        <v>22304.2</v>
      </c>
      <c r="P96" s="146">
        <v>535666</v>
      </c>
      <c r="Q96" s="146">
        <v>10214737</v>
      </c>
      <c r="R96" s="146">
        <v>0</v>
      </c>
    </row>
    <row r="97" spans="1:18" x14ac:dyDescent="0.25">
      <c r="A97" s="61" t="s">
        <v>290</v>
      </c>
      <c r="B97" t="s">
        <v>94</v>
      </c>
      <c r="C97" t="s">
        <v>216</v>
      </c>
      <c r="D97" s="146">
        <v>1332</v>
      </c>
      <c r="E97" s="146">
        <v>95</v>
      </c>
      <c r="F97" s="146">
        <v>1427</v>
      </c>
      <c r="G97" s="146">
        <v>15</v>
      </c>
      <c r="H97" s="151">
        <v>0.883606632</v>
      </c>
      <c r="I97" s="143">
        <v>1260.9000000000001</v>
      </c>
      <c r="J97" s="146">
        <v>0</v>
      </c>
      <c r="K97" s="146">
        <v>10308453</v>
      </c>
      <c r="L97" s="146">
        <v>0</v>
      </c>
      <c r="M97" s="146">
        <v>10308453</v>
      </c>
      <c r="N97" s="146">
        <v>588</v>
      </c>
      <c r="O97" s="143">
        <v>30821.5</v>
      </c>
      <c r="P97" s="146">
        <v>740220</v>
      </c>
      <c r="Q97" s="146">
        <v>11048673</v>
      </c>
      <c r="R97" s="146">
        <v>576781</v>
      </c>
    </row>
    <row r="98" spans="1:18" x14ac:dyDescent="0.25">
      <c r="A98" s="61" t="s">
        <v>289</v>
      </c>
      <c r="B98" t="s">
        <v>95</v>
      </c>
      <c r="C98" t="s">
        <v>274</v>
      </c>
      <c r="D98" s="146">
        <v>64</v>
      </c>
      <c r="E98" s="146">
        <v>3</v>
      </c>
      <c r="F98" s="146">
        <v>67</v>
      </c>
      <c r="G98" s="146">
        <v>0</v>
      </c>
      <c r="H98" s="151">
        <v>1.0679928860000001</v>
      </c>
      <c r="I98" s="143">
        <v>71.599999999999994</v>
      </c>
      <c r="J98" s="146">
        <v>0</v>
      </c>
      <c r="K98" s="146">
        <v>585364</v>
      </c>
      <c r="L98" s="146">
        <v>0</v>
      </c>
      <c r="M98" s="146">
        <v>585364</v>
      </c>
      <c r="N98" s="146">
        <v>27</v>
      </c>
      <c r="O98" s="143">
        <v>1400.7</v>
      </c>
      <c r="P98" s="146">
        <v>33640</v>
      </c>
      <c r="Q98" s="146">
        <v>619004</v>
      </c>
      <c r="R98" s="146">
        <v>32752</v>
      </c>
    </row>
    <row r="99" spans="1:18" x14ac:dyDescent="0.25">
      <c r="A99" s="61" t="s">
        <v>296</v>
      </c>
      <c r="B99" t="s">
        <v>96</v>
      </c>
      <c r="C99" t="s">
        <v>295</v>
      </c>
      <c r="D99" s="146">
        <v>4815</v>
      </c>
      <c r="E99" s="146">
        <v>359</v>
      </c>
      <c r="F99" s="146">
        <v>5174</v>
      </c>
      <c r="G99" s="146">
        <v>140</v>
      </c>
      <c r="H99" s="151">
        <v>1.1085556620000001</v>
      </c>
      <c r="I99" s="143">
        <v>5735.7</v>
      </c>
      <c r="J99" s="146">
        <v>-427168</v>
      </c>
      <c r="K99" s="146">
        <v>46464887</v>
      </c>
      <c r="L99" s="146">
        <v>0</v>
      </c>
      <c r="M99" s="146">
        <v>46464887</v>
      </c>
      <c r="N99" s="146">
        <v>2240</v>
      </c>
      <c r="O99" s="143">
        <v>116515.5</v>
      </c>
      <c r="P99" s="146">
        <v>2798277</v>
      </c>
      <c r="Q99" s="146">
        <v>49263164</v>
      </c>
      <c r="R99" s="146">
        <v>0</v>
      </c>
    </row>
    <row r="100" spans="1:18" x14ac:dyDescent="0.25">
      <c r="A100" s="61" t="s">
        <v>286</v>
      </c>
      <c r="B100" t="s">
        <v>97</v>
      </c>
      <c r="C100" t="s">
        <v>265</v>
      </c>
      <c r="D100" s="146">
        <v>117</v>
      </c>
      <c r="E100" s="146">
        <v>0</v>
      </c>
      <c r="F100" s="146">
        <v>117</v>
      </c>
      <c r="G100" s="146">
        <v>0</v>
      </c>
      <c r="H100" s="151">
        <v>1.0647510060000001</v>
      </c>
      <c r="I100" s="143">
        <v>124.6</v>
      </c>
      <c r="J100" s="146">
        <v>0</v>
      </c>
      <c r="K100" s="146">
        <v>1018664</v>
      </c>
      <c r="L100" s="146">
        <v>0</v>
      </c>
      <c r="M100" s="146">
        <v>1018664</v>
      </c>
      <c r="N100" s="146">
        <v>56</v>
      </c>
      <c r="O100" s="143">
        <v>1601.5</v>
      </c>
      <c r="P100" s="146">
        <v>38462</v>
      </c>
      <c r="Q100" s="146">
        <v>1057126</v>
      </c>
      <c r="R100" s="146">
        <v>56997</v>
      </c>
    </row>
    <row r="101" spans="1:18" x14ac:dyDescent="0.25">
      <c r="A101" s="61" t="s">
        <v>285</v>
      </c>
      <c r="B101" t="s">
        <v>98</v>
      </c>
      <c r="C101" t="s">
        <v>220</v>
      </c>
      <c r="D101" s="146">
        <v>50</v>
      </c>
      <c r="E101" s="146">
        <v>2</v>
      </c>
      <c r="F101" s="146">
        <v>52</v>
      </c>
      <c r="G101" s="146">
        <v>0</v>
      </c>
      <c r="H101" s="151">
        <v>1.139943978</v>
      </c>
      <c r="I101" s="143">
        <v>59.3</v>
      </c>
      <c r="J101" s="146">
        <v>0</v>
      </c>
      <c r="K101" s="146">
        <v>484805</v>
      </c>
      <c r="L101" s="146">
        <v>0</v>
      </c>
      <c r="M101" s="146">
        <v>484805</v>
      </c>
      <c r="N101" s="146">
        <v>23</v>
      </c>
      <c r="O101" s="143">
        <v>1104.8</v>
      </c>
      <c r="P101" s="146">
        <v>26533</v>
      </c>
      <c r="Q101" s="146">
        <v>511338</v>
      </c>
      <c r="R101" s="146">
        <v>27126</v>
      </c>
    </row>
    <row r="102" spans="1:18" x14ac:dyDescent="0.25">
      <c r="A102" s="61" t="s">
        <v>284</v>
      </c>
      <c r="B102" t="s">
        <v>99</v>
      </c>
      <c r="C102" t="s">
        <v>224</v>
      </c>
      <c r="D102" s="146">
        <v>194</v>
      </c>
      <c r="E102" s="146">
        <v>75</v>
      </c>
      <c r="F102" s="146">
        <v>269</v>
      </c>
      <c r="G102" s="146">
        <v>55</v>
      </c>
      <c r="H102" s="151">
        <v>0.81011179300000002</v>
      </c>
      <c r="I102" s="143">
        <v>217.9</v>
      </c>
      <c r="J102" s="146">
        <v>0</v>
      </c>
      <c r="K102" s="146">
        <v>1781435</v>
      </c>
      <c r="L102" s="146">
        <v>0</v>
      </c>
      <c r="M102" s="146">
        <v>1781435</v>
      </c>
      <c r="N102" s="146">
        <v>128</v>
      </c>
      <c r="O102" s="143">
        <v>2287.4</v>
      </c>
      <c r="P102" s="146">
        <v>54935</v>
      </c>
      <c r="Q102" s="146">
        <v>1836370</v>
      </c>
      <c r="R102" s="146">
        <v>99675</v>
      </c>
    </row>
    <row r="103" spans="1:18" x14ac:dyDescent="0.25">
      <c r="A103" s="61" t="s">
        <v>288</v>
      </c>
      <c r="B103" t="s">
        <v>100</v>
      </c>
      <c r="C103" t="s">
        <v>216</v>
      </c>
      <c r="D103" s="146">
        <v>105</v>
      </c>
      <c r="E103" s="146">
        <v>8</v>
      </c>
      <c r="F103" s="146">
        <v>113</v>
      </c>
      <c r="G103" s="146">
        <v>0</v>
      </c>
      <c r="H103" s="151">
        <v>1.592227488</v>
      </c>
      <c r="I103" s="143">
        <v>179.9</v>
      </c>
      <c r="J103" s="146">
        <v>0</v>
      </c>
      <c r="K103" s="146">
        <v>1470767</v>
      </c>
      <c r="L103" s="146">
        <v>0</v>
      </c>
      <c r="M103" s="146">
        <v>1470767</v>
      </c>
      <c r="N103" s="146">
        <v>54</v>
      </c>
      <c r="O103" s="143">
        <v>5151.6000000000004</v>
      </c>
      <c r="P103" s="146">
        <v>123723</v>
      </c>
      <c r="Q103" s="146">
        <v>1594490</v>
      </c>
      <c r="R103" s="146">
        <v>82293</v>
      </c>
    </row>
    <row r="104" spans="1:18" x14ac:dyDescent="0.25">
      <c r="A104" s="61" t="s">
        <v>287</v>
      </c>
      <c r="B104" t="s">
        <v>101</v>
      </c>
      <c r="C104" t="s">
        <v>220</v>
      </c>
      <c r="D104" s="146">
        <v>77</v>
      </c>
      <c r="E104" s="146">
        <v>0</v>
      </c>
      <c r="F104" s="146">
        <v>77</v>
      </c>
      <c r="G104" s="146">
        <v>0</v>
      </c>
      <c r="H104" s="151">
        <v>1.0680350279999999</v>
      </c>
      <c r="I104" s="143">
        <v>82.2</v>
      </c>
      <c r="J104" s="146">
        <v>0</v>
      </c>
      <c r="K104" s="146">
        <v>672024</v>
      </c>
      <c r="L104" s="146">
        <v>0</v>
      </c>
      <c r="M104" s="146">
        <v>672024</v>
      </c>
      <c r="N104" s="146">
        <v>49</v>
      </c>
      <c r="O104" s="143">
        <v>1942.4</v>
      </c>
      <c r="P104" s="146">
        <v>46649</v>
      </c>
      <c r="Q104" s="146">
        <v>718673</v>
      </c>
      <c r="R104" s="146">
        <v>37601</v>
      </c>
    </row>
    <row r="105" spans="1:18" x14ac:dyDescent="0.25">
      <c r="A105" s="61" t="s">
        <v>283</v>
      </c>
      <c r="B105" t="s">
        <v>102</v>
      </c>
      <c r="C105" t="s">
        <v>224</v>
      </c>
      <c r="D105" s="146">
        <v>890</v>
      </c>
      <c r="E105" s="146">
        <v>117</v>
      </c>
      <c r="F105" s="146">
        <v>1007</v>
      </c>
      <c r="G105" s="146">
        <v>65</v>
      </c>
      <c r="H105" s="151">
        <v>1.1052195419999999</v>
      </c>
      <c r="I105" s="143">
        <v>1113</v>
      </c>
      <c r="J105" s="146">
        <v>-82891</v>
      </c>
      <c r="K105" s="146">
        <v>9016409</v>
      </c>
      <c r="L105" s="146">
        <v>0</v>
      </c>
      <c r="M105" s="146">
        <v>9016409</v>
      </c>
      <c r="N105" s="146">
        <v>319</v>
      </c>
      <c r="O105" s="143">
        <v>19598.099999999999</v>
      </c>
      <c r="P105" s="146">
        <v>470675</v>
      </c>
      <c r="Q105" s="146">
        <v>9487084</v>
      </c>
      <c r="R105" s="146">
        <v>0</v>
      </c>
    </row>
    <row r="106" spans="1:18" x14ac:dyDescent="0.25">
      <c r="A106" s="61" t="s">
        <v>282</v>
      </c>
      <c r="B106" t="s">
        <v>103</v>
      </c>
      <c r="C106" t="s">
        <v>224</v>
      </c>
      <c r="D106" s="146">
        <v>179</v>
      </c>
      <c r="E106" s="146">
        <v>0</v>
      </c>
      <c r="F106" s="146">
        <v>179</v>
      </c>
      <c r="G106" s="146">
        <v>0</v>
      </c>
      <c r="H106" s="151">
        <v>0.78111783999999995</v>
      </c>
      <c r="I106" s="143">
        <v>139.80000000000001</v>
      </c>
      <c r="J106" s="146">
        <v>0</v>
      </c>
      <c r="K106" s="146">
        <v>1142931</v>
      </c>
      <c r="L106" s="146">
        <v>0</v>
      </c>
      <c r="M106" s="146">
        <v>1142931</v>
      </c>
      <c r="N106" s="146">
        <v>78</v>
      </c>
      <c r="O106" s="143">
        <v>3198.6</v>
      </c>
      <c r="P106" s="146">
        <v>76819</v>
      </c>
      <c r="Q106" s="146">
        <v>1219750</v>
      </c>
      <c r="R106" s="146">
        <v>63950</v>
      </c>
    </row>
    <row r="107" spans="1:18" x14ac:dyDescent="0.25">
      <c r="A107" s="61" t="s">
        <v>281</v>
      </c>
      <c r="B107" t="s">
        <v>104</v>
      </c>
      <c r="C107" t="s">
        <v>232</v>
      </c>
      <c r="D107" s="146">
        <v>1630</v>
      </c>
      <c r="E107" s="146">
        <v>170</v>
      </c>
      <c r="F107" s="146">
        <v>1800</v>
      </c>
      <c r="G107" s="146">
        <v>90</v>
      </c>
      <c r="H107" s="151">
        <v>0.92866406099999999</v>
      </c>
      <c r="I107" s="143">
        <v>1671.6</v>
      </c>
      <c r="J107" s="146">
        <v>-124493</v>
      </c>
      <c r="K107" s="146">
        <v>13541626</v>
      </c>
      <c r="L107" s="146">
        <v>0</v>
      </c>
      <c r="M107" s="146">
        <v>13541626</v>
      </c>
      <c r="N107" s="146">
        <v>861</v>
      </c>
      <c r="O107" s="143">
        <v>37333.699999999997</v>
      </c>
      <c r="P107" s="146">
        <v>896619</v>
      </c>
      <c r="Q107" s="146">
        <v>14438245</v>
      </c>
      <c r="R107" s="146">
        <v>0</v>
      </c>
    </row>
    <row r="108" spans="1:18" x14ac:dyDescent="0.25">
      <c r="A108" s="61" t="s">
        <v>280</v>
      </c>
      <c r="B108" t="s">
        <v>105</v>
      </c>
      <c r="C108" t="s">
        <v>216</v>
      </c>
      <c r="D108" s="146">
        <v>67</v>
      </c>
      <c r="E108" s="146">
        <v>11</v>
      </c>
      <c r="F108" s="146">
        <v>78</v>
      </c>
      <c r="G108" s="146">
        <v>0</v>
      </c>
      <c r="H108" s="151">
        <v>0.73816071400000005</v>
      </c>
      <c r="I108" s="143">
        <v>57.6</v>
      </c>
      <c r="J108" s="146">
        <v>0</v>
      </c>
      <c r="K108" s="146">
        <v>470907</v>
      </c>
      <c r="L108" s="146">
        <v>100000</v>
      </c>
      <c r="M108" s="146">
        <v>570907</v>
      </c>
      <c r="N108" s="146">
        <v>33</v>
      </c>
      <c r="O108" s="143">
        <v>352.8</v>
      </c>
      <c r="P108" s="146">
        <v>8473</v>
      </c>
      <c r="Q108" s="146">
        <v>579380</v>
      </c>
      <c r="R108" s="146">
        <v>31944</v>
      </c>
    </row>
    <row r="109" spans="1:18" x14ac:dyDescent="0.25">
      <c r="A109" s="61" t="s">
        <v>451</v>
      </c>
      <c r="B109" t="s">
        <v>106</v>
      </c>
      <c r="C109" t="s">
        <v>216</v>
      </c>
      <c r="D109" s="146">
        <v>477</v>
      </c>
      <c r="E109" s="146">
        <v>40</v>
      </c>
      <c r="F109" s="146">
        <v>517</v>
      </c>
      <c r="G109" s="146">
        <v>0</v>
      </c>
      <c r="H109" s="151">
        <v>0.71465982299999997</v>
      </c>
      <c r="I109" s="143">
        <v>369.5</v>
      </c>
      <c r="J109" s="146">
        <v>0</v>
      </c>
      <c r="K109" s="146">
        <v>3020837</v>
      </c>
      <c r="L109" s="146">
        <v>100000</v>
      </c>
      <c r="M109" s="146">
        <v>3120837</v>
      </c>
      <c r="N109" s="146">
        <v>450</v>
      </c>
      <c r="O109" s="143">
        <v>5715</v>
      </c>
      <c r="P109" s="146">
        <v>137253</v>
      </c>
      <c r="Q109" s="146">
        <v>3258090</v>
      </c>
      <c r="R109" s="146">
        <v>174618</v>
      </c>
    </row>
    <row r="110" spans="1:18" x14ac:dyDescent="0.25">
      <c r="A110" s="61" t="s">
        <v>279</v>
      </c>
      <c r="B110" t="s">
        <v>107</v>
      </c>
      <c r="C110" t="s">
        <v>224</v>
      </c>
      <c r="D110" s="146">
        <v>30</v>
      </c>
      <c r="E110" s="146">
        <v>3</v>
      </c>
      <c r="F110" s="146">
        <v>33</v>
      </c>
      <c r="G110" s="146">
        <v>0</v>
      </c>
      <c r="H110" s="151">
        <v>0.84030845099999996</v>
      </c>
      <c r="I110" s="143">
        <v>27.7</v>
      </c>
      <c r="J110" s="146">
        <v>0</v>
      </c>
      <c r="K110" s="146">
        <v>226461</v>
      </c>
      <c r="L110" s="146">
        <v>0</v>
      </c>
      <c r="M110" s="146">
        <v>226461</v>
      </c>
      <c r="N110" s="146">
        <v>24</v>
      </c>
      <c r="O110" s="143">
        <v>417</v>
      </c>
      <c r="P110" s="146">
        <v>10015</v>
      </c>
      <c r="Q110" s="146">
        <v>236476</v>
      </c>
      <c r="R110" s="146">
        <v>12671</v>
      </c>
    </row>
    <row r="111" spans="1:18" x14ac:dyDescent="0.25">
      <c r="A111" s="61" t="s">
        <v>278</v>
      </c>
      <c r="B111" t="s">
        <v>175</v>
      </c>
      <c r="C111" t="s">
        <v>216</v>
      </c>
      <c r="D111" s="146">
        <v>37</v>
      </c>
      <c r="E111" s="146">
        <v>0</v>
      </c>
      <c r="F111" s="146">
        <v>37</v>
      </c>
      <c r="G111" s="146">
        <v>0</v>
      </c>
      <c r="H111" s="151">
        <v>0.315</v>
      </c>
      <c r="I111" s="143">
        <v>11.7</v>
      </c>
      <c r="J111" s="146">
        <v>0</v>
      </c>
      <c r="K111" s="146">
        <v>95653</v>
      </c>
      <c r="L111" s="146">
        <v>0</v>
      </c>
      <c r="M111" s="146">
        <v>95653</v>
      </c>
      <c r="N111" s="146">
        <v>0</v>
      </c>
      <c r="O111" s="143">
        <v>0</v>
      </c>
      <c r="P111" s="146">
        <v>0</v>
      </c>
      <c r="Q111" s="146">
        <v>95653</v>
      </c>
      <c r="R111" s="146">
        <v>5352</v>
      </c>
    </row>
    <row r="112" spans="1:18" x14ac:dyDescent="0.25">
      <c r="A112" s="61" t="s">
        <v>277</v>
      </c>
      <c r="B112" t="s">
        <v>166</v>
      </c>
      <c r="C112" t="s">
        <v>224</v>
      </c>
      <c r="D112" s="146">
        <v>0</v>
      </c>
      <c r="E112" s="146">
        <v>10</v>
      </c>
      <c r="F112" s="146">
        <v>10</v>
      </c>
      <c r="G112" s="146">
        <v>0</v>
      </c>
      <c r="H112" s="151">
        <v>0.84150000000000003</v>
      </c>
      <c r="I112" s="143">
        <v>8.4</v>
      </c>
      <c r="J112" s="146">
        <v>0</v>
      </c>
      <c r="K112" s="146">
        <v>68674</v>
      </c>
      <c r="L112" s="146">
        <v>0</v>
      </c>
      <c r="M112" s="146">
        <v>68674</v>
      </c>
      <c r="N112" s="146">
        <v>0</v>
      </c>
      <c r="O112" s="143">
        <v>0</v>
      </c>
      <c r="P112" s="146">
        <v>0</v>
      </c>
      <c r="Q112" s="146">
        <v>68674</v>
      </c>
      <c r="R112" s="146">
        <v>3842</v>
      </c>
    </row>
    <row r="113" spans="1:18" x14ac:dyDescent="0.25">
      <c r="A113" s="61" t="s">
        <v>276</v>
      </c>
      <c r="B113" t="s">
        <v>108</v>
      </c>
      <c r="C113" t="s">
        <v>274</v>
      </c>
      <c r="D113" s="146">
        <v>50</v>
      </c>
      <c r="E113" s="146">
        <v>0</v>
      </c>
      <c r="F113" s="146">
        <v>50</v>
      </c>
      <c r="G113" s="146">
        <v>0</v>
      </c>
      <c r="H113" s="151">
        <v>1.048245951</v>
      </c>
      <c r="I113" s="143">
        <v>52.4</v>
      </c>
      <c r="J113" s="146">
        <v>0</v>
      </c>
      <c r="K113" s="146">
        <v>428395</v>
      </c>
      <c r="L113" s="146">
        <v>0</v>
      </c>
      <c r="M113" s="146">
        <v>428395</v>
      </c>
      <c r="N113" s="146">
        <v>37</v>
      </c>
      <c r="O113" s="143">
        <v>1343.6</v>
      </c>
      <c r="P113" s="146">
        <v>32268</v>
      </c>
      <c r="Q113" s="146">
        <v>460663</v>
      </c>
      <c r="R113" s="146">
        <v>23970</v>
      </c>
    </row>
    <row r="114" spans="1:18" x14ac:dyDescent="0.25">
      <c r="A114" s="61" t="s">
        <v>275</v>
      </c>
      <c r="B114" t="s">
        <v>109</v>
      </c>
      <c r="C114" t="s">
        <v>274</v>
      </c>
      <c r="D114" s="146">
        <v>3139</v>
      </c>
      <c r="E114" s="146">
        <v>328</v>
      </c>
      <c r="F114" s="146">
        <v>3467</v>
      </c>
      <c r="G114" s="146">
        <v>200</v>
      </c>
      <c r="H114" s="151">
        <v>1.1558256309999999</v>
      </c>
      <c r="I114" s="143">
        <v>4007.2</v>
      </c>
      <c r="J114" s="146">
        <v>-298438</v>
      </c>
      <c r="K114" s="146">
        <v>32462314</v>
      </c>
      <c r="L114" s="146">
        <v>90000</v>
      </c>
      <c r="M114" s="146">
        <v>32552314</v>
      </c>
      <c r="N114" s="146">
        <v>1569</v>
      </c>
      <c r="O114" s="143">
        <v>77349.600000000006</v>
      </c>
      <c r="P114" s="146">
        <v>1857655</v>
      </c>
      <c r="Q114" s="146">
        <v>34409969</v>
      </c>
      <c r="R114" s="146">
        <v>0</v>
      </c>
    </row>
    <row r="115" spans="1:18" x14ac:dyDescent="0.25">
      <c r="A115" s="61" t="s">
        <v>273</v>
      </c>
      <c r="B115" t="s">
        <v>110</v>
      </c>
      <c r="C115" t="s">
        <v>232</v>
      </c>
      <c r="D115" s="146">
        <v>1889</v>
      </c>
      <c r="E115" s="146">
        <v>199</v>
      </c>
      <c r="F115" s="146">
        <v>2088</v>
      </c>
      <c r="G115" s="146">
        <v>149</v>
      </c>
      <c r="H115" s="151">
        <v>1.060283485</v>
      </c>
      <c r="I115" s="143">
        <v>2213.9</v>
      </c>
      <c r="J115" s="146">
        <v>-164881</v>
      </c>
      <c r="K115" s="146">
        <v>17934797</v>
      </c>
      <c r="L115" s="146">
        <v>0</v>
      </c>
      <c r="M115" s="146">
        <v>17934797</v>
      </c>
      <c r="N115" s="146">
        <v>896</v>
      </c>
      <c r="O115" s="143">
        <v>45955.4</v>
      </c>
      <c r="P115" s="146">
        <v>1103681</v>
      </c>
      <c r="Q115" s="146">
        <v>19038478</v>
      </c>
      <c r="R115" s="146">
        <v>0</v>
      </c>
    </row>
    <row r="116" spans="1:18" x14ac:dyDescent="0.25">
      <c r="A116" s="61" t="s">
        <v>452</v>
      </c>
      <c r="B116" t="s">
        <v>167</v>
      </c>
      <c r="C116" t="s">
        <v>216</v>
      </c>
      <c r="D116" s="146">
        <v>214</v>
      </c>
      <c r="E116" s="146">
        <v>7</v>
      </c>
      <c r="F116" s="146">
        <v>221</v>
      </c>
      <c r="G116" s="146">
        <v>0</v>
      </c>
      <c r="H116" s="151">
        <v>1.2148516469999999</v>
      </c>
      <c r="I116" s="143">
        <v>268.5</v>
      </c>
      <c r="J116" s="146">
        <v>-19997</v>
      </c>
      <c r="K116" s="146">
        <v>2175117</v>
      </c>
      <c r="L116" s="146">
        <v>100000</v>
      </c>
      <c r="M116" s="146">
        <v>2275117</v>
      </c>
      <c r="N116" s="146">
        <v>77</v>
      </c>
      <c r="O116" s="143">
        <v>5830.4</v>
      </c>
      <c r="P116" s="146">
        <v>140025</v>
      </c>
      <c r="Q116" s="146">
        <v>2415142</v>
      </c>
      <c r="R116" s="146">
        <v>0</v>
      </c>
    </row>
    <row r="117" spans="1:18" x14ac:dyDescent="0.25">
      <c r="A117" s="61" t="s">
        <v>272</v>
      </c>
      <c r="B117" t="s">
        <v>202</v>
      </c>
      <c r="C117" t="s">
        <v>216</v>
      </c>
      <c r="D117" s="146">
        <v>0</v>
      </c>
      <c r="E117" s="146">
        <v>0</v>
      </c>
      <c r="F117" s="146">
        <v>0</v>
      </c>
      <c r="G117" s="146">
        <v>0</v>
      </c>
      <c r="H117" s="151">
        <v>0.315</v>
      </c>
      <c r="I117" s="143">
        <v>0</v>
      </c>
      <c r="J117" s="146">
        <v>0</v>
      </c>
      <c r="K117" s="146">
        <v>0</v>
      </c>
      <c r="L117" s="146">
        <v>0</v>
      </c>
      <c r="M117" s="146">
        <v>0</v>
      </c>
      <c r="N117" s="146">
        <v>0</v>
      </c>
      <c r="O117" s="143">
        <v>0</v>
      </c>
      <c r="P117" s="146">
        <v>0</v>
      </c>
      <c r="Q117" s="146">
        <v>0</v>
      </c>
      <c r="R117" s="146">
        <v>0</v>
      </c>
    </row>
    <row r="118" spans="1:18" x14ac:dyDescent="0.25">
      <c r="A118" s="61" t="s">
        <v>271</v>
      </c>
      <c r="B118" t="s">
        <v>111</v>
      </c>
      <c r="C118" t="s">
        <v>227</v>
      </c>
      <c r="D118" s="146">
        <v>3324</v>
      </c>
      <c r="E118" s="146">
        <v>306</v>
      </c>
      <c r="F118" s="146">
        <v>3630</v>
      </c>
      <c r="G118" s="146">
        <v>60</v>
      </c>
      <c r="H118" s="151">
        <v>1.059778162</v>
      </c>
      <c r="I118" s="143">
        <v>3847</v>
      </c>
      <c r="J118" s="146">
        <v>-286507</v>
      </c>
      <c r="K118" s="146">
        <v>31164534</v>
      </c>
      <c r="L118" s="146">
        <v>0</v>
      </c>
      <c r="M118" s="146">
        <v>31164534</v>
      </c>
      <c r="N118" s="146">
        <v>1304</v>
      </c>
      <c r="O118" s="143">
        <v>63638.6</v>
      </c>
      <c r="P118" s="146">
        <v>1528367</v>
      </c>
      <c r="Q118" s="146">
        <v>32692901</v>
      </c>
      <c r="R118" s="146">
        <v>0</v>
      </c>
    </row>
    <row r="119" spans="1:18" x14ac:dyDescent="0.25">
      <c r="A119" s="61" t="s">
        <v>270</v>
      </c>
      <c r="B119" t="s">
        <v>112</v>
      </c>
      <c r="C119" t="s">
        <v>265</v>
      </c>
      <c r="D119" s="146">
        <v>1814</v>
      </c>
      <c r="E119" s="146">
        <v>257</v>
      </c>
      <c r="F119" s="146">
        <v>2071</v>
      </c>
      <c r="G119" s="146">
        <v>165</v>
      </c>
      <c r="H119" s="151">
        <v>1.081573315</v>
      </c>
      <c r="I119" s="143">
        <v>2239.9</v>
      </c>
      <c r="J119" s="146">
        <v>-166817</v>
      </c>
      <c r="K119" s="146">
        <v>18145423</v>
      </c>
      <c r="L119" s="146">
        <v>0</v>
      </c>
      <c r="M119" s="146">
        <v>18145423</v>
      </c>
      <c r="N119" s="146">
        <v>788</v>
      </c>
      <c r="O119" s="143">
        <v>40173.800000000003</v>
      </c>
      <c r="P119" s="146">
        <v>964828</v>
      </c>
      <c r="Q119" s="146">
        <v>19110251</v>
      </c>
      <c r="R119" s="146">
        <v>0</v>
      </c>
    </row>
    <row r="120" spans="1:18" x14ac:dyDescent="0.25">
      <c r="A120" s="61" t="s">
        <v>269</v>
      </c>
      <c r="B120" t="s">
        <v>113</v>
      </c>
      <c r="C120" t="s">
        <v>220</v>
      </c>
      <c r="D120" s="146">
        <v>5755</v>
      </c>
      <c r="E120" s="146">
        <v>416</v>
      </c>
      <c r="F120" s="146">
        <v>6171</v>
      </c>
      <c r="G120" s="146">
        <v>150</v>
      </c>
      <c r="H120" s="151">
        <v>1.045866593</v>
      </c>
      <c r="I120" s="143">
        <v>6454</v>
      </c>
      <c r="J120" s="146">
        <v>-480664</v>
      </c>
      <c r="K120" s="146">
        <v>52283833</v>
      </c>
      <c r="L120" s="146">
        <v>90000</v>
      </c>
      <c r="M120" s="146">
        <v>52373833</v>
      </c>
      <c r="N120" s="146">
        <v>2526</v>
      </c>
      <c r="O120" s="143">
        <v>118370</v>
      </c>
      <c r="P120" s="146">
        <v>2842816</v>
      </c>
      <c r="Q120" s="146">
        <v>55216649</v>
      </c>
      <c r="R120" s="146">
        <v>0</v>
      </c>
    </row>
    <row r="121" spans="1:18" x14ac:dyDescent="0.25">
      <c r="A121" s="61" t="s">
        <v>268</v>
      </c>
      <c r="B121" t="s">
        <v>114</v>
      </c>
      <c r="C121" t="s">
        <v>249</v>
      </c>
      <c r="D121" s="146">
        <v>4109</v>
      </c>
      <c r="E121" s="146">
        <v>658</v>
      </c>
      <c r="F121" s="146">
        <v>4767</v>
      </c>
      <c r="G121" s="146">
        <v>500</v>
      </c>
      <c r="H121" s="151">
        <v>1.0401869450000001</v>
      </c>
      <c r="I121" s="143">
        <v>4958.6000000000004</v>
      </c>
      <c r="J121" s="146">
        <v>-369294</v>
      </c>
      <c r="K121" s="146">
        <v>40169602</v>
      </c>
      <c r="L121" s="146">
        <v>470000</v>
      </c>
      <c r="M121" s="146">
        <v>40639602</v>
      </c>
      <c r="N121" s="146">
        <v>1933</v>
      </c>
      <c r="O121" s="143">
        <v>96309.5</v>
      </c>
      <c r="P121" s="146">
        <v>2313003</v>
      </c>
      <c r="Q121" s="146">
        <v>42952605</v>
      </c>
      <c r="R121" s="146">
        <v>0</v>
      </c>
    </row>
    <row r="122" spans="1:18" x14ac:dyDescent="0.25">
      <c r="A122" s="61" t="s">
        <v>267</v>
      </c>
      <c r="B122" t="s">
        <v>115</v>
      </c>
      <c r="C122" t="s">
        <v>216</v>
      </c>
      <c r="D122" s="146">
        <v>1564</v>
      </c>
      <c r="E122" s="146">
        <v>295</v>
      </c>
      <c r="F122" s="146">
        <v>1859</v>
      </c>
      <c r="G122" s="146">
        <v>80</v>
      </c>
      <c r="H122" s="151">
        <v>1.085639598</v>
      </c>
      <c r="I122" s="143">
        <v>2018.2</v>
      </c>
      <c r="J122" s="146">
        <v>0</v>
      </c>
      <c r="K122" s="146">
        <v>16499738</v>
      </c>
      <c r="L122" s="146">
        <v>0</v>
      </c>
      <c r="M122" s="146">
        <v>16499738</v>
      </c>
      <c r="N122" s="146">
        <v>627</v>
      </c>
      <c r="O122" s="143">
        <v>29980.400000000001</v>
      </c>
      <c r="P122" s="146">
        <v>720020</v>
      </c>
      <c r="Q122" s="146">
        <v>17219758</v>
      </c>
      <c r="R122" s="146">
        <v>923198</v>
      </c>
    </row>
    <row r="123" spans="1:18" x14ac:dyDescent="0.25">
      <c r="A123" s="61" t="s">
        <v>266</v>
      </c>
      <c r="B123" t="s">
        <v>176</v>
      </c>
      <c r="C123" t="s">
        <v>265</v>
      </c>
      <c r="D123" s="146">
        <v>49</v>
      </c>
      <c r="E123" s="146">
        <v>34</v>
      </c>
      <c r="F123" s="146">
        <v>83</v>
      </c>
      <c r="G123" s="146">
        <v>0</v>
      </c>
      <c r="H123" s="151">
        <v>0.63</v>
      </c>
      <c r="I123" s="143">
        <v>52.3</v>
      </c>
      <c r="J123" s="146">
        <v>0</v>
      </c>
      <c r="K123" s="146">
        <v>427577</v>
      </c>
      <c r="L123" s="146">
        <v>6650000</v>
      </c>
      <c r="M123" s="146">
        <v>7077577</v>
      </c>
      <c r="N123" s="146">
        <v>0</v>
      </c>
      <c r="O123" s="143">
        <v>0</v>
      </c>
      <c r="P123" s="146">
        <v>0</v>
      </c>
      <c r="Q123" s="146">
        <v>7077577</v>
      </c>
      <c r="R123" s="146">
        <v>396007</v>
      </c>
    </row>
    <row r="124" spans="1:18" x14ac:dyDescent="0.25">
      <c r="A124" s="61" t="s">
        <v>264</v>
      </c>
      <c r="B124" t="s">
        <v>116</v>
      </c>
      <c r="C124" t="s">
        <v>216</v>
      </c>
      <c r="D124" s="146">
        <v>27</v>
      </c>
      <c r="E124" s="146">
        <v>0</v>
      </c>
      <c r="F124" s="146">
        <v>27</v>
      </c>
      <c r="G124" s="146">
        <v>0</v>
      </c>
      <c r="H124" s="151">
        <v>1.23</v>
      </c>
      <c r="I124" s="143">
        <v>33.200000000000003</v>
      </c>
      <c r="J124" s="146">
        <v>0</v>
      </c>
      <c r="K124" s="146">
        <v>271426</v>
      </c>
      <c r="L124" s="146">
        <v>280000</v>
      </c>
      <c r="M124" s="146">
        <v>551426</v>
      </c>
      <c r="N124" s="146">
        <v>9</v>
      </c>
      <c r="O124" s="143">
        <v>797</v>
      </c>
      <c r="P124" s="146">
        <v>19141</v>
      </c>
      <c r="Q124" s="146">
        <v>570567</v>
      </c>
      <c r="R124" s="146">
        <v>30854</v>
      </c>
    </row>
    <row r="125" spans="1:18" x14ac:dyDescent="0.25">
      <c r="A125" s="61" t="s">
        <v>263</v>
      </c>
      <c r="B125" t="s">
        <v>148</v>
      </c>
      <c r="C125" t="s">
        <v>216</v>
      </c>
      <c r="D125" s="146">
        <v>21</v>
      </c>
      <c r="E125" s="146">
        <v>0</v>
      </c>
      <c r="F125" s="146">
        <v>21</v>
      </c>
      <c r="G125" s="146">
        <v>0</v>
      </c>
      <c r="H125" s="151">
        <v>1.0455000000000001</v>
      </c>
      <c r="I125" s="143">
        <v>22</v>
      </c>
      <c r="J125" s="146">
        <v>0</v>
      </c>
      <c r="K125" s="146">
        <v>179860</v>
      </c>
      <c r="L125" s="146">
        <v>0</v>
      </c>
      <c r="M125" s="146">
        <v>179860</v>
      </c>
      <c r="N125" s="146">
        <v>10</v>
      </c>
      <c r="O125" s="143">
        <v>212.5</v>
      </c>
      <c r="P125" s="146">
        <v>5103</v>
      </c>
      <c r="Q125" s="146">
        <v>184963</v>
      </c>
      <c r="R125" s="146">
        <v>10064</v>
      </c>
    </row>
    <row r="126" spans="1:18" x14ac:dyDescent="0.25">
      <c r="A126" s="61" t="s">
        <v>262</v>
      </c>
      <c r="B126" t="s">
        <v>117</v>
      </c>
      <c r="C126" t="s">
        <v>250</v>
      </c>
      <c r="D126" s="146">
        <v>102</v>
      </c>
      <c r="E126" s="146">
        <v>0</v>
      </c>
      <c r="F126" s="146">
        <v>102</v>
      </c>
      <c r="G126" s="146">
        <v>0</v>
      </c>
      <c r="H126" s="151">
        <v>1.271532847</v>
      </c>
      <c r="I126" s="143">
        <v>129.69999999999999</v>
      </c>
      <c r="J126" s="146">
        <v>0</v>
      </c>
      <c r="K126" s="146">
        <v>1060359</v>
      </c>
      <c r="L126" s="146">
        <v>0</v>
      </c>
      <c r="M126" s="146">
        <v>1060359</v>
      </c>
      <c r="N126" s="146">
        <v>38</v>
      </c>
      <c r="O126" s="143">
        <v>2281</v>
      </c>
      <c r="P126" s="146">
        <v>54781</v>
      </c>
      <c r="Q126" s="146">
        <v>1115140</v>
      </c>
      <c r="R126" s="146">
        <v>59329</v>
      </c>
    </row>
    <row r="127" spans="1:18" x14ac:dyDescent="0.25">
      <c r="A127" s="61" t="s">
        <v>261</v>
      </c>
      <c r="B127" t="s">
        <v>118</v>
      </c>
      <c r="C127" t="s">
        <v>230</v>
      </c>
      <c r="D127" s="146">
        <v>218</v>
      </c>
      <c r="E127" s="146">
        <v>20</v>
      </c>
      <c r="F127" s="146">
        <v>238</v>
      </c>
      <c r="G127" s="146">
        <v>0</v>
      </c>
      <c r="H127" s="151">
        <v>1.369380281</v>
      </c>
      <c r="I127" s="143">
        <v>325.89999999999998</v>
      </c>
      <c r="J127" s="146">
        <v>0</v>
      </c>
      <c r="K127" s="146">
        <v>2664386</v>
      </c>
      <c r="L127" s="146">
        <v>0</v>
      </c>
      <c r="M127" s="146">
        <v>2664386</v>
      </c>
      <c r="N127" s="146">
        <v>137</v>
      </c>
      <c r="O127" s="143">
        <v>7392.9</v>
      </c>
      <c r="P127" s="146">
        <v>177550</v>
      </c>
      <c r="Q127" s="146">
        <v>2841936</v>
      </c>
      <c r="R127" s="146">
        <v>149079</v>
      </c>
    </row>
    <row r="128" spans="1:18" x14ac:dyDescent="0.25">
      <c r="A128" s="61" t="s">
        <v>260</v>
      </c>
      <c r="B128" t="s">
        <v>119</v>
      </c>
      <c r="C128" t="s">
        <v>216</v>
      </c>
      <c r="D128" s="146">
        <v>169</v>
      </c>
      <c r="E128" s="146">
        <v>37</v>
      </c>
      <c r="F128" s="146">
        <v>206</v>
      </c>
      <c r="G128" s="146">
        <v>20</v>
      </c>
      <c r="H128" s="151">
        <v>0.83814167299999998</v>
      </c>
      <c r="I128" s="143">
        <v>172.7</v>
      </c>
      <c r="J128" s="146">
        <v>0</v>
      </c>
      <c r="K128" s="146">
        <v>1411904</v>
      </c>
      <c r="L128" s="146">
        <v>0</v>
      </c>
      <c r="M128" s="146">
        <v>1411904</v>
      </c>
      <c r="N128" s="146">
        <v>98</v>
      </c>
      <c r="O128" s="143">
        <v>1240.3</v>
      </c>
      <c r="P128" s="146">
        <v>29787</v>
      </c>
      <c r="Q128" s="146">
        <v>1441691</v>
      </c>
      <c r="R128" s="146">
        <v>78999</v>
      </c>
    </row>
    <row r="129" spans="1:18" x14ac:dyDescent="0.25">
      <c r="A129" s="61" t="s">
        <v>259</v>
      </c>
      <c r="B129" t="s">
        <v>120</v>
      </c>
      <c r="C129" t="s">
        <v>249</v>
      </c>
      <c r="D129" s="146">
        <v>488</v>
      </c>
      <c r="E129" s="146">
        <v>160</v>
      </c>
      <c r="F129" s="146">
        <v>648</v>
      </c>
      <c r="G129" s="146">
        <v>110</v>
      </c>
      <c r="H129" s="151">
        <v>0.709182007</v>
      </c>
      <c r="I129" s="143">
        <v>459.5</v>
      </c>
      <c r="J129" s="146">
        <v>0</v>
      </c>
      <c r="K129" s="146">
        <v>3756629</v>
      </c>
      <c r="L129" s="146">
        <v>0</v>
      </c>
      <c r="M129" s="146">
        <v>3756629</v>
      </c>
      <c r="N129" s="146">
        <v>451</v>
      </c>
      <c r="O129" s="143">
        <v>7733</v>
      </c>
      <c r="P129" s="146">
        <v>185718</v>
      </c>
      <c r="Q129" s="146">
        <v>3942347</v>
      </c>
      <c r="R129" s="146">
        <v>210192</v>
      </c>
    </row>
    <row r="130" spans="1:18" x14ac:dyDescent="0.25">
      <c r="A130" s="61" t="s">
        <v>258</v>
      </c>
      <c r="B130" t="s">
        <v>121</v>
      </c>
      <c r="C130" t="s">
        <v>249</v>
      </c>
      <c r="D130" s="146">
        <v>563</v>
      </c>
      <c r="E130" s="146">
        <v>0</v>
      </c>
      <c r="F130" s="146">
        <v>563</v>
      </c>
      <c r="G130" s="146">
        <v>0</v>
      </c>
      <c r="H130" s="151">
        <v>1.0678462209999999</v>
      </c>
      <c r="I130" s="143">
        <v>601.20000000000005</v>
      </c>
      <c r="J130" s="146">
        <v>-44775</v>
      </c>
      <c r="K130" s="146">
        <v>4870319</v>
      </c>
      <c r="L130" s="146">
        <v>0</v>
      </c>
      <c r="M130" s="146">
        <v>4870319</v>
      </c>
      <c r="N130" s="146">
        <v>247</v>
      </c>
      <c r="O130" s="143">
        <v>14685.2</v>
      </c>
      <c r="P130" s="146">
        <v>352685</v>
      </c>
      <c r="Q130" s="146">
        <v>5223004</v>
      </c>
      <c r="R130" s="146">
        <v>0</v>
      </c>
    </row>
    <row r="131" spans="1:18" x14ac:dyDescent="0.25">
      <c r="A131" s="61" t="s">
        <v>453</v>
      </c>
      <c r="B131" t="s">
        <v>122</v>
      </c>
      <c r="C131" t="s">
        <v>216</v>
      </c>
      <c r="D131" s="146">
        <v>873</v>
      </c>
      <c r="E131" s="146">
        <v>10</v>
      </c>
      <c r="F131" s="146">
        <v>883</v>
      </c>
      <c r="G131" s="146">
        <v>0</v>
      </c>
      <c r="H131" s="151">
        <v>0.99732120899999999</v>
      </c>
      <c r="I131" s="143">
        <v>880.6</v>
      </c>
      <c r="J131" s="146">
        <v>0</v>
      </c>
      <c r="K131" s="146">
        <v>7199321</v>
      </c>
      <c r="L131" s="146">
        <v>0</v>
      </c>
      <c r="M131" s="146">
        <v>7199321</v>
      </c>
      <c r="N131" s="146">
        <v>280</v>
      </c>
      <c r="O131" s="143">
        <v>15448.1</v>
      </c>
      <c r="P131" s="146">
        <v>371007</v>
      </c>
      <c r="Q131" s="146">
        <v>7570328</v>
      </c>
      <c r="R131" s="146">
        <v>402818</v>
      </c>
    </row>
    <row r="132" spans="1:18" x14ac:dyDescent="0.25">
      <c r="A132" s="61" t="s">
        <v>256</v>
      </c>
      <c r="B132" t="s">
        <v>123</v>
      </c>
      <c r="C132" t="s">
        <v>222</v>
      </c>
      <c r="D132" s="146">
        <v>1394</v>
      </c>
      <c r="E132" s="146">
        <v>125</v>
      </c>
      <c r="F132" s="146">
        <v>1519</v>
      </c>
      <c r="G132" s="146">
        <v>80</v>
      </c>
      <c r="H132" s="151">
        <v>1.1380644170000001</v>
      </c>
      <c r="I132" s="143">
        <v>1728.7</v>
      </c>
      <c r="J132" s="146">
        <v>-128746</v>
      </c>
      <c r="K132" s="146">
        <v>14004193</v>
      </c>
      <c r="L132" s="146">
        <v>0</v>
      </c>
      <c r="M132" s="146">
        <v>14004193</v>
      </c>
      <c r="N132" s="146">
        <v>655</v>
      </c>
      <c r="O132" s="143">
        <v>34846.300000000003</v>
      </c>
      <c r="P132" s="146">
        <v>836881</v>
      </c>
      <c r="Q132" s="146">
        <v>14841074</v>
      </c>
      <c r="R132" s="146">
        <v>0</v>
      </c>
    </row>
    <row r="133" spans="1:18" x14ac:dyDescent="0.25">
      <c r="A133" s="61" t="s">
        <v>255</v>
      </c>
      <c r="B133" t="s">
        <v>124</v>
      </c>
      <c r="C133" t="s">
        <v>227</v>
      </c>
      <c r="D133" s="146">
        <v>956</v>
      </c>
      <c r="E133" s="146">
        <v>867</v>
      </c>
      <c r="F133" s="146">
        <v>1823</v>
      </c>
      <c r="G133" s="146">
        <v>672</v>
      </c>
      <c r="H133" s="151">
        <v>0.84988779400000003</v>
      </c>
      <c r="I133" s="143">
        <v>1549.3</v>
      </c>
      <c r="J133" s="146">
        <v>0</v>
      </c>
      <c r="K133" s="146">
        <v>12666259</v>
      </c>
      <c r="L133" s="146">
        <v>250000</v>
      </c>
      <c r="M133" s="146">
        <v>12916259</v>
      </c>
      <c r="N133" s="146">
        <v>845</v>
      </c>
      <c r="O133" s="143">
        <v>27869.3</v>
      </c>
      <c r="P133" s="146">
        <v>669319</v>
      </c>
      <c r="Q133" s="146">
        <v>13585578</v>
      </c>
      <c r="R133" s="146">
        <v>722694</v>
      </c>
    </row>
    <row r="134" spans="1:18" x14ac:dyDescent="0.25">
      <c r="A134" s="61" t="s">
        <v>254</v>
      </c>
      <c r="B134" t="s">
        <v>125</v>
      </c>
      <c r="C134" t="s">
        <v>227</v>
      </c>
      <c r="D134" s="146">
        <v>8065</v>
      </c>
      <c r="E134" s="146">
        <v>549</v>
      </c>
      <c r="F134" s="146">
        <v>8614</v>
      </c>
      <c r="G134" s="146">
        <v>105</v>
      </c>
      <c r="H134" s="151">
        <v>1.0298232570000001</v>
      </c>
      <c r="I134" s="143">
        <v>8870.9</v>
      </c>
      <c r="J134" s="146">
        <v>-660664</v>
      </c>
      <c r="K134" s="146">
        <v>71863132</v>
      </c>
      <c r="L134" s="146">
        <v>150000</v>
      </c>
      <c r="M134" s="146">
        <v>72013132</v>
      </c>
      <c r="N134" s="146">
        <v>3773</v>
      </c>
      <c r="O134" s="143">
        <v>185209.4</v>
      </c>
      <c r="P134" s="146">
        <v>4448054</v>
      </c>
      <c r="Q134" s="146">
        <v>76461186</v>
      </c>
      <c r="R134" s="146">
        <v>0</v>
      </c>
    </row>
    <row r="135" spans="1:18" x14ac:dyDescent="0.25">
      <c r="A135" s="61" t="s">
        <v>253</v>
      </c>
      <c r="B135" t="s">
        <v>126</v>
      </c>
      <c r="C135" t="s">
        <v>227</v>
      </c>
      <c r="D135" s="146">
        <v>61</v>
      </c>
      <c r="E135" s="146">
        <v>5</v>
      </c>
      <c r="F135" s="146">
        <v>66</v>
      </c>
      <c r="G135" s="146">
        <v>0</v>
      </c>
      <c r="H135" s="151">
        <v>1.455249169</v>
      </c>
      <c r="I135" s="143">
        <v>96</v>
      </c>
      <c r="J135" s="146">
        <v>0</v>
      </c>
      <c r="K135" s="146">
        <v>784845</v>
      </c>
      <c r="L135" s="146">
        <v>0</v>
      </c>
      <c r="M135" s="146">
        <v>784845</v>
      </c>
      <c r="N135" s="146">
        <v>29</v>
      </c>
      <c r="O135" s="143">
        <v>2699.5</v>
      </c>
      <c r="P135" s="146">
        <v>64832</v>
      </c>
      <c r="Q135" s="146">
        <v>849677</v>
      </c>
      <c r="R135" s="146">
        <v>43914</v>
      </c>
    </row>
    <row r="136" spans="1:18" x14ac:dyDescent="0.25">
      <c r="A136" s="61" t="s">
        <v>252</v>
      </c>
      <c r="B136" t="s">
        <v>168</v>
      </c>
      <c r="C136" t="s">
        <v>227</v>
      </c>
      <c r="D136" s="146">
        <v>0</v>
      </c>
      <c r="E136" s="146">
        <v>5</v>
      </c>
      <c r="F136" s="146">
        <v>5</v>
      </c>
      <c r="G136" s="146">
        <v>0</v>
      </c>
      <c r="H136" s="151">
        <v>0.84150000000000003</v>
      </c>
      <c r="I136" s="143">
        <v>4.2</v>
      </c>
      <c r="J136" s="146">
        <v>0</v>
      </c>
      <c r="K136" s="146">
        <v>34337</v>
      </c>
      <c r="L136" s="146">
        <v>0</v>
      </c>
      <c r="M136" s="146">
        <v>34337</v>
      </c>
      <c r="N136" s="146">
        <v>0</v>
      </c>
      <c r="O136" s="143">
        <v>0</v>
      </c>
      <c r="P136" s="146">
        <v>0</v>
      </c>
      <c r="Q136" s="146">
        <v>34337</v>
      </c>
      <c r="R136" s="146">
        <v>1921</v>
      </c>
    </row>
    <row r="137" spans="1:18" x14ac:dyDescent="0.25">
      <c r="A137" s="61" t="s">
        <v>251</v>
      </c>
      <c r="B137" t="s">
        <v>127</v>
      </c>
      <c r="C137" t="s">
        <v>250</v>
      </c>
      <c r="D137" s="146">
        <v>66</v>
      </c>
      <c r="E137" s="146">
        <v>4</v>
      </c>
      <c r="F137" s="146">
        <v>70</v>
      </c>
      <c r="G137" s="146">
        <v>0</v>
      </c>
      <c r="H137" s="151">
        <v>1.6990771920000001</v>
      </c>
      <c r="I137" s="143">
        <v>118.9</v>
      </c>
      <c r="J137" s="146">
        <v>0</v>
      </c>
      <c r="K137" s="146">
        <v>972064</v>
      </c>
      <c r="L137" s="146">
        <v>0</v>
      </c>
      <c r="M137" s="146">
        <v>972064</v>
      </c>
      <c r="N137" s="146">
        <v>26</v>
      </c>
      <c r="O137" s="143">
        <v>2976.5</v>
      </c>
      <c r="P137" s="146">
        <v>71485</v>
      </c>
      <c r="Q137" s="146">
        <v>1043549</v>
      </c>
      <c r="R137" s="146">
        <v>54389</v>
      </c>
    </row>
    <row r="138" spans="1:18" x14ac:dyDescent="0.25">
      <c r="A138" s="61" t="s">
        <v>246</v>
      </c>
      <c r="B138" t="s">
        <v>128</v>
      </c>
      <c r="C138" t="s">
        <v>220</v>
      </c>
      <c r="D138" s="146">
        <v>184</v>
      </c>
      <c r="E138" s="146">
        <v>13</v>
      </c>
      <c r="F138" s="146">
        <v>197</v>
      </c>
      <c r="G138" s="146">
        <v>0</v>
      </c>
      <c r="H138" s="151">
        <v>1.4240868550000001</v>
      </c>
      <c r="I138" s="143">
        <v>280.5</v>
      </c>
      <c r="J138" s="146">
        <v>0</v>
      </c>
      <c r="K138" s="146">
        <v>2293220</v>
      </c>
      <c r="L138" s="146">
        <v>0</v>
      </c>
      <c r="M138" s="146">
        <v>2293220</v>
      </c>
      <c r="N138" s="146">
        <v>71</v>
      </c>
      <c r="O138" s="143">
        <v>5557.1</v>
      </c>
      <c r="P138" s="146">
        <v>133461</v>
      </c>
      <c r="Q138" s="146">
        <v>2426681</v>
      </c>
      <c r="R138" s="146">
        <v>128311</v>
      </c>
    </row>
    <row r="139" spans="1:18" x14ac:dyDescent="0.25">
      <c r="A139" s="61" t="s">
        <v>248</v>
      </c>
      <c r="B139" t="s">
        <v>169</v>
      </c>
      <c r="C139" t="s">
        <v>216</v>
      </c>
      <c r="D139" s="146">
        <v>35</v>
      </c>
      <c r="E139" s="146">
        <v>0</v>
      </c>
      <c r="F139" s="146">
        <v>35</v>
      </c>
      <c r="G139" s="146">
        <v>0</v>
      </c>
      <c r="H139" s="151">
        <v>0.75586134500000002</v>
      </c>
      <c r="I139" s="143">
        <v>26.5</v>
      </c>
      <c r="J139" s="146">
        <v>0</v>
      </c>
      <c r="K139" s="146">
        <v>216650</v>
      </c>
      <c r="L139" s="146">
        <v>0</v>
      </c>
      <c r="M139" s="146">
        <v>216650</v>
      </c>
      <c r="N139" s="146">
        <v>31</v>
      </c>
      <c r="O139" s="143">
        <v>339.2</v>
      </c>
      <c r="P139" s="146">
        <v>8146</v>
      </c>
      <c r="Q139" s="146">
        <v>224796</v>
      </c>
      <c r="R139" s="146">
        <v>12122</v>
      </c>
    </row>
    <row r="140" spans="1:18" x14ac:dyDescent="0.25">
      <c r="A140" s="61" t="s">
        <v>247</v>
      </c>
      <c r="B140" t="s">
        <v>129</v>
      </c>
      <c r="C140" t="s">
        <v>220</v>
      </c>
      <c r="D140" s="146">
        <v>0</v>
      </c>
      <c r="E140" s="146">
        <v>10</v>
      </c>
      <c r="F140" s="146">
        <v>10</v>
      </c>
      <c r="G140" s="146">
        <v>10</v>
      </c>
      <c r="H140" s="151">
        <v>1</v>
      </c>
      <c r="I140" s="143">
        <v>10</v>
      </c>
      <c r="J140" s="146">
        <v>0</v>
      </c>
      <c r="K140" s="146">
        <v>81755</v>
      </c>
      <c r="L140" s="146">
        <v>60000</v>
      </c>
      <c r="M140" s="146">
        <v>141755</v>
      </c>
      <c r="N140" s="146">
        <v>0</v>
      </c>
      <c r="O140" s="143">
        <v>0</v>
      </c>
      <c r="P140" s="146">
        <v>0</v>
      </c>
      <c r="Q140" s="146">
        <v>141755</v>
      </c>
      <c r="R140" s="146">
        <v>7932</v>
      </c>
    </row>
    <row r="141" spans="1:18" x14ac:dyDescent="0.25">
      <c r="A141" s="61" t="s">
        <v>245</v>
      </c>
      <c r="B141" t="s">
        <v>170</v>
      </c>
      <c r="C141" t="s">
        <v>216</v>
      </c>
      <c r="D141" s="146">
        <v>5</v>
      </c>
      <c r="E141" s="146">
        <v>0</v>
      </c>
      <c r="F141" s="146">
        <v>5</v>
      </c>
      <c r="G141" s="146">
        <v>0</v>
      </c>
      <c r="H141" s="151">
        <v>0.84150000000000003</v>
      </c>
      <c r="I141" s="143">
        <v>4.2</v>
      </c>
      <c r="J141" s="146">
        <v>0</v>
      </c>
      <c r="K141" s="146">
        <v>34337</v>
      </c>
      <c r="L141" s="146">
        <v>0</v>
      </c>
      <c r="M141" s="146">
        <v>34337</v>
      </c>
      <c r="N141" s="146">
        <v>7</v>
      </c>
      <c r="O141" s="143">
        <v>106.9</v>
      </c>
      <c r="P141" s="146">
        <v>2567</v>
      </c>
      <c r="Q141" s="146">
        <v>36904</v>
      </c>
      <c r="R141" s="146">
        <v>1921</v>
      </c>
    </row>
    <row r="142" spans="1:18" x14ac:dyDescent="0.25">
      <c r="A142" s="61" t="s">
        <v>244</v>
      </c>
      <c r="B142" t="s">
        <v>130</v>
      </c>
      <c r="C142" t="s">
        <v>232</v>
      </c>
      <c r="D142" s="146">
        <v>610</v>
      </c>
      <c r="E142" s="146">
        <v>561</v>
      </c>
      <c r="F142" s="146">
        <v>1171</v>
      </c>
      <c r="G142" s="146">
        <v>540</v>
      </c>
      <c r="H142" s="151">
        <v>0.84328893599999999</v>
      </c>
      <c r="I142" s="143">
        <v>987.5</v>
      </c>
      <c r="J142" s="146">
        <v>0</v>
      </c>
      <c r="K142" s="146">
        <v>8073279</v>
      </c>
      <c r="L142" s="146">
        <v>210000</v>
      </c>
      <c r="M142" s="146">
        <v>8283279</v>
      </c>
      <c r="N142" s="146">
        <v>585</v>
      </c>
      <c r="O142" s="143">
        <v>17307.400000000001</v>
      </c>
      <c r="P142" s="146">
        <v>415661</v>
      </c>
      <c r="Q142" s="146">
        <v>8698940</v>
      </c>
      <c r="R142" s="146">
        <v>463468</v>
      </c>
    </row>
    <row r="143" spans="1:18" x14ac:dyDescent="0.25">
      <c r="A143" s="61" t="s">
        <v>243</v>
      </c>
      <c r="B143" t="s">
        <v>131</v>
      </c>
      <c r="C143" t="s">
        <v>232</v>
      </c>
      <c r="D143" s="146">
        <v>302</v>
      </c>
      <c r="E143" s="146">
        <v>36</v>
      </c>
      <c r="F143" s="146">
        <v>338</v>
      </c>
      <c r="G143" s="146">
        <v>26</v>
      </c>
      <c r="H143" s="151">
        <v>1.115000309</v>
      </c>
      <c r="I143" s="143">
        <v>376.9</v>
      </c>
      <c r="J143" s="146">
        <v>0</v>
      </c>
      <c r="K143" s="146">
        <v>3081335</v>
      </c>
      <c r="L143" s="146">
        <v>0</v>
      </c>
      <c r="M143" s="146">
        <v>3081335</v>
      </c>
      <c r="N143" s="146">
        <v>118</v>
      </c>
      <c r="O143" s="143">
        <v>6443.7</v>
      </c>
      <c r="P143" s="146">
        <v>154754</v>
      </c>
      <c r="Q143" s="146">
        <v>3236089</v>
      </c>
      <c r="R143" s="146">
        <v>172408</v>
      </c>
    </row>
    <row r="144" spans="1:18" x14ac:dyDescent="0.25">
      <c r="A144" s="61" t="s">
        <v>242</v>
      </c>
      <c r="B144" t="s">
        <v>132</v>
      </c>
      <c r="C144" t="s">
        <v>232</v>
      </c>
      <c r="D144" s="146">
        <v>4466</v>
      </c>
      <c r="E144" s="146">
        <v>623</v>
      </c>
      <c r="F144" s="146">
        <v>5089</v>
      </c>
      <c r="G144" s="146">
        <v>240</v>
      </c>
      <c r="H144" s="151">
        <v>0.97482506300000005</v>
      </c>
      <c r="I144" s="143">
        <v>4960.8999999999996</v>
      </c>
      <c r="J144" s="146">
        <v>-369465</v>
      </c>
      <c r="K144" s="146">
        <v>40188235</v>
      </c>
      <c r="L144" s="146">
        <v>0</v>
      </c>
      <c r="M144" s="146">
        <v>40188235</v>
      </c>
      <c r="N144" s="146">
        <v>2049</v>
      </c>
      <c r="O144" s="143">
        <v>99926.5</v>
      </c>
      <c r="P144" s="146">
        <v>2399870</v>
      </c>
      <c r="Q144" s="146">
        <v>42588105</v>
      </c>
      <c r="R144" s="146">
        <v>0</v>
      </c>
    </row>
    <row r="145" spans="1:18" x14ac:dyDescent="0.25">
      <c r="A145" s="61" t="s">
        <v>454</v>
      </c>
      <c r="B145" t="s">
        <v>133</v>
      </c>
      <c r="C145" t="s">
        <v>232</v>
      </c>
      <c r="D145" s="146">
        <v>79</v>
      </c>
      <c r="E145" s="146">
        <v>5</v>
      </c>
      <c r="F145" s="146">
        <v>84</v>
      </c>
      <c r="G145" s="146">
        <v>0</v>
      </c>
      <c r="H145" s="151">
        <v>1.59</v>
      </c>
      <c r="I145" s="143">
        <v>133.6</v>
      </c>
      <c r="J145" s="146">
        <v>0</v>
      </c>
      <c r="K145" s="146">
        <v>1092243</v>
      </c>
      <c r="L145" s="146">
        <v>0</v>
      </c>
      <c r="M145" s="146">
        <v>1092243</v>
      </c>
      <c r="N145" s="146">
        <v>54</v>
      </c>
      <c r="O145" s="143">
        <v>5151.6000000000004</v>
      </c>
      <c r="P145" s="146">
        <v>123723</v>
      </c>
      <c r="Q145" s="146">
        <v>1215966</v>
      </c>
      <c r="R145" s="146">
        <v>61113</v>
      </c>
    </row>
    <row r="146" spans="1:18" x14ac:dyDescent="0.25">
      <c r="A146" s="61" t="s">
        <v>241</v>
      </c>
      <c r="B146" t="s">
        <v>134</v>
      </c>
      <c r="C146" t="s">
        <v>232</v>
      </c>
      <c r="D146" s="146">
        <v>218</v>
      </c>
      <c r="E146" s="146">
        <v>11</v>
      </c>
      <c r="F146" s="146">
        <v>229</v>
      </c>
      <c r="G146" s="146">
        <v>0</v>
      </c>
      <c r="H146" s="151">
        <v>1.0005351629999999</v>
      </c>
      <c r="I146" s="143">
        <v>229.1</v>
      </c>
      <c r="J146" s="146">
        <v>0</v>
      </c>
      <c r="K146" s="146">
        <v>1873001</v>
      </c>
      <c r="L146" s="146">
        <v>0</v>
      </c>
      <c r="M146" s="146">
        <v>1873001</v>
      </c>
      <c r="N146" s="146">
        <v>98</v>
      </c>
      <c r="O146" s="143">
        <v>3644.7</v>
      </c>
      <c r="P146" s="146">
        <v>87532</v>
      </c>
      <c r="Q146" s="146">
        <v>1960533</v>
      </c>
      <c r="R146" s="146">
        <v>104799</v>
      </c>
    </row>
    <row r="147" spans="1:18" x14ac:dyDescent="0.25">
      <c r="A147" s="61" t="s">
        <v>308</v>
      </c>
      <c r="B147" t="s">
        <v>149</v>
      </c>
      <c r="C147" t="s">
        <v>232</v>
      </c>
      <c r="D147" s="146">
        <v>28</v>
      </c>
      <c r="E147" s="146">
        <v>0</v>
      </c>
      <c r="F147" s="146">
        <v>28</v>
      </c>
      <c r="G147" s="146">
        <v>0</v>
      </c>
      <c r="H147" s="151">
        <v>0.84150000000000003</v>
      </c>
      <c r="I147" s="143">
        <v>23.6</v>
      </c>
      <c r="J147" s="146">
        <v>0</v>
      </c>
      <c r="K147" s="146">
        <v>192941</v>
      </c>
      <c r="L147" s="146">
        <v>0</v>
      </c>
      <c r="M147" s="146">
        <v>192941</v>
      </c>
      <c r="N147" s="146">
        <v>28</v>
      </c>
      <c r="O147" s="143">
        <v>780.5</v>
      </c>
      <c r="P147" s="146">
        <v>18745</v>
      </c>
      <c r="Q147" s="146">
        <v>211686</v>
      </c>
      <c r="R147" s="146">
        <v>10795</v>
      </c>
    </row>
    <row r="148" spans="1:18" x14ac:dyDescent="0.25">
      <c r="A148" s="61" t="s">
        <v>240</v>
      </c>
      <c r="B148" t="s">
        <v>135</v>
      </c>
      <c r="C148" t="s">
        <v>216</v>
      </c>
      <c r="D148" s="146">
        <v>702</v>
      </c>
      <c r="E148" s="146">
        <v>490</v>
      </c>
      <c r="F148" s="146">
        <v>1192</v>
      </c>
      <c r="G148" s="146">
        <v>250</v>
      </c>
      <c r="H148" s="151">
        <v>1.083907779</v>
      </c>
      <c r="I148" s="143">
        <v>1292</v>
      </c>
      <c r="J148" s="146">
        <v>0</v>
      </c>
      <c r="K148" s="146">
        <v>10562710</v>
      </c>
      <c r="L148" s="146">
        <v>100000</v>
      </c>
      <c r="M148" s="146">
        <v>10662710</v>
      </c>
      <c r="N148" s="146">
        <v>542</v>
      </c>
      <c r="O148" s="143">
        <v>21622.6</v>
      </c>
      <c r="P148" s="146">
        <v>519296</v>
      </c>
      <c r="Q148" s="146">
        <v>11182006</v>
      </c>
      <c r="R148" s="146">
        <v>596603</v>
      </c>
    </row>
    <row r="149" spans="1:18" x14ac:dyDescent="0.25">
      <c r="A149" s="61" t="s">
        <v>239</v>
      </c>
      <c r="B149" t="s">
        <v>184</v>
      </c>
      <c r="C149" t="s">
        <v>216</v>
      </c>
      <c r="D149" s="146">
        <v>0</v>
      </c>
      <c r="E149" s="146">
        <v>45</v>
      </c>
      <c r="F149" s="146">
        <v>45</v>
      </c>
      <c r="G149" s="146">
        <v>0</v>
      </c>
      <c r="H149" s="151">
        <v>0.63</v>
      </c>
      <c r="I149" s="143">
        <v>28.4</v>
      </c>
      <c r="J149" s="146">
        <v>0</v>
      </c>
      <c r="K149" s="146">
        <v>232183</v>
      </c>
      <c r="L149" s="146">
        <v>0</v>
      </c>
      <c r="M149" s="146">
        <v>232183</v>
      </c>
      <c r="N149" s="146">
        <v>0</v>
      </c>
      <c r="O149" s="143">
        <v>0</v>
      </c>
      <c r="P149" s="146">
        <v>0</v>
      </c>
      <c r="Q149" s="146">
        <v>232183</v>
      </c>
      <c r="R149" s="146">
        <v>12991</v>
      </c>
    </row>
    <row r="150" spans="1:18" x14ac:dyDescent="0.25">
      <c r="A150" s="61" t="s">
        <v>238</v>
      </c>
      <c r="B150" t="s">
        <v>177</v>
      </c>
      <c r="C150" t="s">
        <v>216</v>
      </c>
      <c r="D150" s="146">
        <v>0</v>
      </c>
      <c r="E150" s="146">
        <v>44</v>
      </c>
      <c r="F150" s="146">
        <v>44</v>
      </c>
      <c r="G150" s="146">
        <v>0</v>
      </c>
      <c r="H150" s="151">
        <v>0.315</v>
      </c>
      <c r="I150" s="143">
        <v>13.9</v>
      </c>
      <c r="J150" s="146">
        <v>0</v>
      </c>
      <c r="K150" s="146">
        <v>113639</v>
      </c>
      <c r="L150" s="146">
        <v>277500</v>
      </c>
      <c r="M150" s="146">
        <v>391139</v>
      </c>
      <c r="N150" s="146">
        <v>0</v>
      </c>
      <c r="O150" s="143">
        <v>0</v>
      </c>
      <c r="P150" s="146">
        <v>0</v>
      </c>
      <c r="Q150" s="146">
        <v>391139</v>
      </c>
      <c r="R150" s="146">
        <v>21885</v>
      </c>
    </row>
    <row r="151" spans="1:18" x14ac:dyDescent="0.25">
      <c r="A151" s="61" t="s">
        <v>237</v>
      </c>
      <c r="B151" t="s">
        <v>136</v>
      </c>
      <c r="C151" t="s">
        <v>222</v>
      </c>
      <c r="D151" s="146">
        <v>2401</v>
      </c>
      <c r="E151" s="146">
        <v>198</v>
      </c>
      <c r="F151" s="146">
        <v>2599</v>
      </c>
      <c r="G151" s="146">
        <v>100</v>
      </c>
      <c r="H151" s="151">
        <v>1.0223535130000001</v>
      </c>
      <c r="I151" s="143">
        <v>2657.1</v>
      </c>
      <c r="J151" s="146">
        <v>-197888</v>
      </c>
      <c r="K151" s="146">
        <v>21525159</v>
      </c>
      <c r="L151" s="146">
        <v>0</v>
      </c>
      <c r="M151" s="146">
        <v>21525159</v>
      </c>
      <c r="N151" s="146">
        <v>1110</v>
      </c>
      <c r="O151" s="143">
        <v>52636.7</v>
      </c>
      <c r="P151" s="146">
        <v>1264142</v>
      </c>
      <c r="Q151" s="146">
        <v>22789301</v>
      </c>
      <c r="R151" s="146">
        <v>0</v>
      </c>
    </row>
    <row r="152" spans="1:18" x14ac:dyDescent="0.25">
      <c r="A152" s="61" t="s">
        <v>236</v>
      </c>
      <c r="B152" t="s">
        <v>137</v>
      </c>
      <c r="C152" t="s">
        <v>227</v>
      </c>
      <c r="D152" s="146">
        <v>1000</v>
      </c>
      <c r="E152" s="146">
        <v>55</v>
      </c>
      <c r="F152" s="146">
        <v>1055</v>
      </c>
      <c r="G152" s="146">
        <v>20</v>
      </c>
      <c r="H152" s="151">
        <v>1.003643356</v>
      </c>
      <c r="I152" s="143">
        <v>1058.8</v>
      </c>
      <c r="J152" s="146">
        <v>-78855</v>
      </c>
      <c r="K152" s="146">
        <v>8577335</v>
      </c>
      <c r="L152" s="146">
        <v>0</v>
      </c>
      <c r="M152" s="146">
        <v>8577335</v>
      </c>
      <c r="N152" s="146">
        <v>331</v>
      </c>
      <c r="O152" s="143">
        <v>17463.5</v>
      </c>
      <c r="P152" s="146">
        <v>419410</v>
      </c>
      <c r="Q152" s="146">
        <v>8996745</v>
      </c>
      <c r="R152" s="146">
        <v>0</v>
      </c>
    </row>
    <row r="153" spans="1:18" x14ac:dyDescent="0.25">
      <c r="A153" s="61" t="s">
        <v>235</v>
      </c>
      <c r="B153" t="s">
        <v>138</v>
      </c>
      <c r="C153" t="s">
        <v>234</v>
      </c>
      <c r="D153" s="146">
        <v>17</v>
      </c>
      <c r="E153" s="146">
        <v>2</v>
      </c>
      <c r="F153" s="146">
        <v>19</v>
      </c>
      <c r="G153" s="146">
        <v>0</v>
      </c>
      <c r="H153" s="151">
        <v>0.84150000000000003</v>
      </c>
      <c r="I153" s="143">
        <v>16</v>
      </c>
      <c r="J153" s="146">
        <v>0</v>
      </c>
      <c r="K153" s="146">
        <v>130808</v>
      </c>
      <c r="L153" s="146">
        <v>0</v>
      </c>
      <c r="M153" s="146">
        <v>130808</v>
      </c>
      <c r="N153" s="146">
        <v>20</v>
      </c>
      <c r="O153" s="143">
        <v>278</v>
      </c>
      <c r="P153" s="146">
        <v>6677</v>
      </c>
      <c r="Q153" s="146">
        <v>137485</v>
      </c>
      <c r="R153" s="146">
        <v>7319</v>
      </c>
    </row>
    <row r="154" spans="1:18" x14ac:dyDescent="0.25">
      <c r="A154" s="61" t="s">
        <v>233</v>
      </c>
      <c r="B154" t="s">
        <v>178</v>
      </c>
      <c r="C154" t="s">
        <v>232</v>
      </c>
      <c r="D154" s="146">
        <v>0</v>
      </c>
      <c r="E154" s="146">
        <v>0</v>
      </c>
      <c r="F154" s="146">
        <v>0</v>
      </c>
      <c r="G154" s="146">
        <v>0</v>
      </c>
      <c r="H154" s="151">
        <v>1</v>
      </c>
      <c r="I154" s="143">
        <v>0</v>
      </c>
      <c r="J154" s="146">
        <v>0</v>
      </c>
      <c r="K154" s="146">
        <v>0</v>
      </c>
      <c r="L154" s="146">
        <v>0</v>
      </c>
      <c r="M154" s="146">
        <v>0</v>
      </c>
      <c r="N154" s="146">
        <v>0</v>
      </c>
      <c r="O154" s="143">
        <v>0</v>
      </c>
      <c r="P154" s="146">
        <v>0</v>
      </c>
      <c r="Q154" s="146">
        <v>0</v>
      </c>
      <c r="R154" s="146">
        <v>0</v>
      </c>
    </row>
    <row r="155" spans="1:18" x14ac:dyDescent="0.25">
      <c r="A155" s="61" t="s">
        <v>231</v>
      </c>
      <c r="B155" t="s">
        <v>139</v>
      </c>
      <c r="C155" t="s">
        <v>230</v>
      </c>
      <c r="D155" s="146">
        <v>158</v>
      </c>
      <c r="E155" s="146">
        <v>15</v>
      </c>
      <c r="F155" s="146">
        <v>173</v>
      </c>
      <c r="G155" s="146">
        <v>0</v>
      </c>
      <c r="H155" s="151">
        <v>1.431143592</v>
      </c>
      <c r="I155" s="143">
        <v>247.6</v>
      </c>
      <c r="J155" s="146">
        <v>0</v>
      </c>
      <c r="K155" s="146">
        <v>2024247</v>
      </c>
      <c r="L155" s="146">
        <v>0</v>
      </c>
      <c r="M155" s="146">
        <v>2024247</v>
      </c>
      <c r="N155" s="146">
        <v>70</v>
      </c>
      <c r="O155" s="143">
        <v>6123.7</v>
      </c>
      <c r="P155" s="146">
        <v>147069</v>
      </c>
      <c r="Q155" s="146">
        <v>2171316</v>
      </c>
      <c r="R155" s="146">
        <v>113261</v>
      </c>
    </row>
    <row r="156" spans="1:18" x14ac:dyDescent="0.25">
      <c r="A156" s="61" t="s">
        <v>229</v>
      </c>
      <c r="B156" t="s">
        <v>140</v>
      </c>
      <c r="C156" t="s">
        <v>216</v>
      </c>
      <c r="D156" s="146">
        <v>3063</v>
      </c>
      <c r="E156" s="146">
        <v>297</v>
      </c>
      <c r="F156" s="146">
        <v>3360</v>
      </c>
      <c r="G156" s="146">
        <v>100</v>
      </c>
      <c r="H156" s="151">
        <v>1.0986407659999999</v>
      </c>
      <c r="I156" s="143">
        <v>3691.4</v>
      </c>
      <c r="J156" s="146">
        <v>-274918</v>
      </c>
      <c r="K156" s="146">
        <v>29904020</v>
      </c>
      <c r="L156" s="146">
        <v>0</v>
      </c>
      <c r="M156" s="146">
        <v>29904020</v>
      </c>
      <c r="N156" s="146">
        <v>1163</v>
      </c>
      <c r="O156" s="143">
        <v>66359.199999999997</v>
      </c>
      <c r="P156" s="146">
        <v>1593706</v>
      </c>
      <c r="Q156" s="146">
        <v>31497726</v>
      </c>
      <c r="R156" s="146">
        <v>0</v>
      </c>
    </row>
    <row r="157" spans="1:18" x14ac:dyDescent="0.25">
      <c r="A157" s="61" t="s">
        <v>228</v>
      </c>
      <c r="B157" t="s">
        <v>141</v>
      </c>
      <c r="C157" t="s">
        <v>227</v>
      </c>
      <c r="D157" s="146">
        <v>128</v>
      </c>
      <c r="E157" s="146">
        <v>0</v>
      </c>
      <c r="F157" s="146">
        <v>128</v>
      </c>
      <c r="G157" s="146">
        <v>0</v>
      </c>
      <c r="H157" s="151">
        <v>1.620336641</v>
      </c>
      <c r="I157" s="143">
        <v>207.4</v>
      </c>
      <c r="J157" s="146">
        <v>0</v>
      </c>
      <c r="K157" s="146">
        <v>1695593</v>
      </c>
      <c r="L157" s="146">
        <v>0</v>
      </c>
      <c r="M157" s="146">
        <v>1695593</v>
      </c>
      <c r="N157" s="146">
        <v>49</v>
      </c>
      <c r="O157" s="143">
        <v>5090.6000000000004</v>
      </c>
      <c r="P157" s="146">
        <v>122258</v>
      </c>
      <c r="Q157" s="146">
        <v>1817851</v>
      </c>
      <c r="R157" s="146">
        <v>94872</v>
      </c>
    </row>
    <row r="158" spans="1:18" x14ac:dyDescent="0.25">
      <c r="A158" s="61" t="s">
        <v>225</v>
      </c>
      <c r="B158" t="s">
        <v>179</v>
      </c>
      <c r="C158" t="s">
        <v>224</v>
      </c>
      <c r="D158" s="146">
        <v>0</v>
      </c>
      <c r="E158" s="146">
        <v>0</v>
      </c>
      <c r="F158" s="146">
        <v>0</v>
      </c>
      <c r="G158" s="146">
        <v>0</v>
      </c>
      <c r="H158" s="151">
        <v>0.84150000000000003</v>
      </c>
      <c r="I158" s="143">
        <v>0</v>
      </c>
      <c r="J158" s="146">
        <v>0</v>
      </c>
      <c r="K158" s="146">
        <v>0</v>
      </c>
      <c r="L158" s="146">
        <v>0</v>
      </c>
      <c r="M158" s="146">
        <v>0</v>
      </c>
      <c r="N158" s="146">
        <v>0</v>
      </c>
      <c r="O158" s="143">
        <v>0</v>
      </c>
      <c r="P158" s="146">
        <v>0</v>
      </c>
      <c r="Q158" s="146">
        <v>0</v>
      </c>
      <c r="R158" s="146">
        <v>0</v>
      </c>
    </row>
    <row r="159" spans="1:18" x14ac:dyDescent="0.25">
      <c r="A159" s="61" t="s">
        <v>223</v>
      </c>
      <c r="B159" t="s">
        <v>180</v>
      </c>
      <c r="C159" t="s">
        <v>222</v>
      </c>
      <c r="D159" s="146">
        <v>0</v>
      </c>
      <c r="E159" s="146">
        <v>35</v>
      </c>
      <c r="F159" s="146">
        <v>35</v>
      </c>
      <c r="G159" s="146">
        <v>0</v>
      </c>
      <c r="H159" s="151">
        <v>0.315</v>
      </c>
      <c r="I159" s="143">
        <v>11</v>
      </c>
      <c r="J159" s="146">
        <v>0</v>
      </c>
      <c r="K159" s="146">
        <v>89930</v>
      </c>
      <c r="L159" s="146">
        <v>243750</v>
      </c>
      <c r="M159" s="146">
        <v>333680</v>
      </c>
      <c r="N159" s="146">
        <v>0</v>
      </c>
      <c r="O159" s="143">
        <v>0</v>
      </c>
      <c r="P159" s="146">
        <v>0</v>
      </c>
      <c r="Q159" s="146">
        <v>333680</v>
      </c>
      <c r="R159" s="146">
        <v>18670</v>
      </c>
    </row>
    <row r="160" spans="1:18" x14ac:dyDescent="0.25">
      <c r="A160" s="61" t="s">
        <v>221</v>
      </c>
      <c r="B160" t="s">
        <v>142</v>
      </c>
      <c r="C160" t="s">
        <v>220</v>
      </c>
      <c r="D160" s="146">
        <v>1320</v>
      </c>
      <c r="E160" s="146">
        <v>230</v>
      </c>
      <c r="F160" s="146">
        <v>1550</v>
      </c>
      <c r="G160" s="146">
        <v>100</v>
      </c>
      <c r="H160" s="151">
        <v>1.194693953</v>
      </c>
      <c r="I160" s="143">
        <v>1851.8</v>
      </c>
      <c r="J160" s="146">
        <v>-137913</v>
      </c>
      <c r="K160" s="146">
        <v>15001426</v>
      </c>
      <c r="L160" s="146">
        <v>0</v>
      </c>
      <c r="M160" s="146">
        <v>15001426</v>
      </c>
      <c r="N160" s="146">
        <v>759</v>
      </c>
      <c r="O160" s="143">
        <v>38022.800000000003</v>
      </c>
      <c r="P160" s="146">
        <v>913169</v>
      </c>
      <c r="Q160" s="146">
        <v>15914595</v>
      </c>
      <c r="R160" s="146">
        <v>0</v>
      </c>
    </row>
    <row r="161" spans="1:18" x14ac:dyDescent="0.25">
      <c r="A161" s="61" t="s">
        <v>219</v>
      </c>
      <c r="B161" t="s">
        <v>143</v>
      </c>
      <c r="C161" t="s">
        <v>218</v>
      </c>
      <c r="D161" s="146">
        <v>1472</v>
      </c>
      <c r="E161" s="146">
        <v>150</v>
      </c>
      <c r="F161" s="146">
        <v>1622</v>
      </c>
      <c r="G161" s="146">
        <v>50</v>
      </c>
      <c r="H161" s="151">
        <v>1.0653143110000001</v>
      </c>
      <c r="I161" s="143">
        <v>1727.9</v>
      </c>
      <c r="J161" s="146">
        <v>-128686</v>
      </c>
      <c r="K161" s="146">
        <v>13997712</v>
      </c>
      <c r="L161" s="146">
        <v>0</v>
      </c>
      <c r="M161" s="146">
        <v>13997712</v>
      </c>
      <c r="N161" s="146">
        <v>693</v>
      </c>
      <c r="O161" s="143">
        <v>32003.3</v>
      </c>
      <c r="P161" s="146">
        <v>768603</v>
      </c>
      <c r="Q161" s="146">
        <v>14766315</v>
      </c>
      <c r="R161" s="146">
        <v>0</v>
      </c>
    </row>
    <row r="162" spans="1:18" x14ac:dyDescent="0.25">
      <c r="A162" s="152" t="s">
        <v>16</v>
      </c>
      <c r="B162" s="153"/>
      <c r="C162" s="153"/>
      <c r="D162" s="154">
        <v>159335</v>
      </c>
      <c r="E162" s="154">
        <v>19135</v>
      </c>
      <c r="F162" s="154">
        <v>178470</v>
      </c>
      <c r="G162" s="154">
        <v>8600</v>
      </c>
      <c r="H162" s="155">
        <v>171.63577834800006</v>
      </c>
      <c r="I162" s="156">
        <v>195426.50000000006</v>
      </c>
      <c r="J162" s="154">
        <v>-10272002</v>
      </c>
      <c r="K162" s="154">
        <v>1587431903</v>
      </c>
      <c r="L162" s="154">
        <v>14501250</v>
      </c>
      <c r="M162" s="154">
        <v>1601933153</v>
      </c>
      <c r="N162" s="154">
        <v>75073</v>
      </c>
      <c r="O162" s="156">
        <v>3536917.3000000003</v>
      </c>
      <c r="P162" s="154">
        <v>84943846</v>
      </c>
      <c r="Q162" s="154">
        <v>1686876999</v>
      </c>
      <c r="R162" s="157">
        <v>26998359</v>
      </c>
    </row>
    <row r="163" spans="1:18" x14ac:dyDescent="0.25">
      <c r="A163"/>
      <c r="B163"/>
      <c r="C163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  <c r="R163" s="146"/>
    </row>
    <row r="164" spans="1:18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</row>
    <row r="165" spans="1:18" x14ac:dyDescent="0.25">
      <c r="A165" s="144" t="s">
        <v>444</v>
      </c>
      <c r="B165" s="51" t="s">
        <v>445</v>
      </c>
      <c r="C165" s="6"/>
      <c r="D165" s="6">
        <f>_xlfn.IFNA(VLOOKUP("0213612-0X",$A:$Y,COLUMN(D:D),FALSE),0)+_xlfn.IFNA(VLOOKUP("0116354-9X",$A:$Y,COLUMN(D:D),FALSE),0)</f>
        <v>2484</v>
      </c>
      <c r="E165" s="6">
        <f>_xlfn.IFNA(VLOOKUP("0213612-0X",$A:$Y,COLUMN(E:E),FALSE),0)+_xlfn.IFNA(VLOOKUP("0116354-9X",$A:$Y,COLUMN(E:E),FALSE),0)</f>
        <v>1172</v>
      </c>
      <c r="F165" s="6">
        <f>_xlfn.IFNA(VLOOKUP("0213612-0X",$A:$Y,COLUMN(F:F),FALSE),0)+_xlfn.IFNA(VLOOKUP("0116354-9X",$A:$Y,COLUMN(F:F),FALSE),0)</f>
        <v>3656</v>
      </c>
      <c r="G165" s="6">
        <f>_xlfn.IFNA(VLOOKUP("0213612-0X",$A:$Y,COLUMN(G:G),FALSE),0)+_xlfn.IFNA(VLOOKUP("0116354-9X",$A:$Y,COLUMN(G:G),FALSE),0)</f>
        <v>580</v>
      </c>
      <c r="H165">
        <f>I165/F165</f>
        <v>0.799644420131291</v>
      </c>
      <c r="I165" s="6">
        <f t="shared" ref="I165:R165" si="0">_xlfn.IFNA(VLOOKUP("0213612-0X",$A:$Y,COLUMN(I:I),FALSE),0)+_xlfn.IFNA(VLOOKUP("0116354-9X",$A:$Y,COLUMN(I:I),FALSE),0)</f>
        <v>2923.5</v>
      </c>
      <c r="J165" s="6">
        <f t="shared" si="0"/>
        <v>0</v>
      </c>
      <c r="K165" s="6">
        <f t="shared" si="0"/>
        <v>23900993</v>
      </c>
      <c r="L165" s="6">
        <f t="shared" si="0"/>
        <v>0</v>
      </c>
      <c r="M165" s="7">
        <f t="shared" si="0"/>
        <v>23900993</v>
      </c>
      <c r="N165" s="6">
        <f t="shared" si="0"/>
        <v>2302</v>
      </c>
      <c r="O165" s="6">
        <f t="shared" si="0"/>
        <v>63536.1</v>
      </c>
      <c r="P165" s="6">
        <f t="shared" si="0"/>
        <v>1525906</v>
      </c>
      <c r="Q165">
        <f t="shared" si="0"/>
        <v>25426899</v>
      </c>
      <c r="R165">
        <f t="shared" si="0"/>
        <v>1337315</v>
      </c>
    </row>
    <row r="166" spans="1:18" x14ac:dyDescent="0.25">
      <c r="A166" s="144" t="s">
        <v>306</v>
      </c>
      <c r="B166" s="51" t="s">
        <v>85</v>
      </c>
      <c r="C166" s="6"/>
      <c r="D166" s="6">
        <f>_xlfn.IFNA(VLOOKUP("0201689-0X",$A:$Y,COLUMN(D:D),FALSE),0)+_xlfn.IFNA(VLOOKUP("0114371-6X",$A:$Y,COLUMN(D:D),FALSE),0)</f>
        <v>1430</v>
      </c>
      <c r="E166" s="6">
        <f>_xlfn.IFNA(VLOOKUP("0201689-0X",$A:$Y,COLUMN(E:E),FALSE),0)+_xlfn.IFNA(VLOOKUP("0114371-6X",$A:$Y,COLUMN(E:E),FALSE),0)</f>
        <v>110</v>
      </c>
      <c r="F166" s="6">
        <f>_xlfn.IFNA(VLOOKUP("0201689-0X",$A:$Y,COLUMN(F:F),FALSE),0)+_xlfn.IFNA(VLOOKUP("0114371-6X",$A:$Y,COLUMN(F:F),FALSE),0)</f>
        <v>1540</v>
      </c>
      <c r="G166" s="6">
        <f>_xlfn.IFNA(VLOOKUP("0201689-0X",$A:$Y,COLUMN(G:G),FALSE),0)+_xlfn.IFNA(VLOOKUP("0114371-6X",$A:$Y,COLUMN(G:G),FALSE),0)</f>
        <v>0</v>
      </c>
      <c r="H166">
        <f t="shared" ref="H166:H168" si="1">I166/F166</f>
        <v>0.67019480519480512</v>
      </c>
      <c r="I166" s="6">
        <f t="shared" ref="I166:R166" si="2">_xlfn.IFNA(VLOOKUP("0201689-0X",$A:$Y,COLUMN(I:I),FALSE),0)+_xlfn.IFNA(VLOOKUP("0114371-6X",$A:$Y,COLUMN(I:I),FALSE),0)</f>
        <v>1032.0999999999999</v>
      </c>
      <c r="J166" s="6">
        <f t="shared" si="2"/>
        <v>0</v>
      </c>
      <c r="K166" s="6">
        <f t="shared" si="2"/>
        <v>8437905</v>
      </c>
      <c r="L166" s="6">
        <f t="shared" si="2"/>
        <v>600000</v>
      </c>
      <c r="M166" s="7">
        <f t="shared" si="2"/>
        <v>9037905</v>
      </c>
      <c r="N166" s="6">
        <f t="shared" si="2"/>
        <v>1072</v>
      </c>
      <c r="O166" s="6">
        <f t="shared" si="2"/>
        <v>15867.9</v>
      </c>
      <c r="P166" s="6">
        <f t="shared" si="2"/>
        <v>381089</v>
      </c>
      <c r="Q166">
        <f t="shared" si="2"/>
        <v>9418994</v>
      </c>
      <c r="R166">
        <f t="shared" si="2"/>
        <v>505691</v>
      </c>
    </row>
    <row r="167" spans="1:18" x14ac:dyDescent="0.25">
      <c r="A167" s="144" t="s">
        <v>257</v>
      </c>
      <c r="B167" s="144" t="s">
        <v>122</v>
      </c>
      <c r="C167" s="6"/>
      <c r="D167" s="6">
        <f>_xlfn.IFNA(VLOOKUP("0214081-6X",$A:$Y,COLUMN(D:D),FALSE),0)+_xlfn.IFNA(VLOOKUP("1648362-5X",$A:$Y,COLUMN(D:D),FALSE),0)</f>
        <v>1087</v>
      </c>
      <c r="E167" s="6">
        <f>_xlfn.IFNA(VLOOKUP("0214081-6X",$A:$Y,COLUMN(E:E),FALSE),0)+_xlfn.IFNA(VLOOKUP("1648362-5X",$A:$Y,COLUMN(E:E),FALSE),0)</f>
        <v>17</v>
      </c>
      <c r="F167" s="6">
        <f>_xlfn.IFNA(VLOOKUP("0214081-6X",$A:$Y,COLUMN(F:F),FALSE),0)+_xlfn.IFNA(VLOOKUP("1648362-5X",$A:$Y,COLUMN(F:F),FALSE),0)</f>
        <v>1104</v>
      </c>
      <c r="G167" s="6">
        <f>_xlfn.IFNA(VLOOKUP("0214081-6X",$A:$Y,COLUMN(G:G),FALSE),0)+_xlfn.IFNA(VLOOKUP("1648362-5X",$A:$Y,COLUMN(G:G),FALSE),0)</f>
        <v>0</v>
      </c>
      <c r="H167">
        <f t="shared" si="1"/>
        <v>1.0408514492753622</v>
      </c>
      <c r="I167" s="6">
        <f t="shared" ref="I167:R167" si="3">_xlfn.IFNA(VLOOKUP("0214081-6X",$A:$Y,COLUMN(I:I),FALSE),0)+_xlfn.IFNA(VLOOKUP("1648362-5X",$A:$Y,COLUMN(I:I),FALSE),0)</f>
        <v>1149.0999999999999</v>
      </c>
      <c r="J167" s="6">
        <f t="shared" si="3"/>
        <v>-19997</v>
      </c>
      <c r="K167" s="6">
        <f t="shared" si="3"/>
        <v>9374438</v>
      </c>
      <c r="L167" s="6">
        <f t="shared" si="3"/>
        <v>100000</v>
      </c>
      <c r="M167" s="7">
        <f t="shared" si="3"/>
        <v>9474438</v>
      </c>
      <c r="N167" s="6">
        <f t="shared" si="3"/>
        <v>357</v>
      </c>
      <c r="O167" s="6">
        <f t="shared" si="3"/>
        <v>21278.5</v>
      </c>
      <c r="P167" s="6">
        <f t="shared" si="3"/>
        <v>511032</v>
      </c>
      <c r="Q167">
        <f t="shared" si="3"/>
        <v>9985470</v>
      </c>
      <c r="R167">
        <f t="shared" si="3"/>
        <v>402818</v>
      </c>
    </row>
    <row r="168" spans="1:18" x14ac:dyDescent="0.25">
      <c r="A168" s="144" t="s">
        <v>446</v>
      </c>
      <c r="B168" s="51" t="s">
        <v>447</v>
      </c>
      <c r="C168" s="6"/>
      <c r="D168" s="6">
        <f>_xlfn.IFNA(VLOOKUP("0204843-8X",$A:$Y,COLUMN(D:D),FALSE),0)</f>
        <v>79</v>
      </c>
      <c r="E168" s="6">
        <f>_xlfn.IFNA(VLOOKUP("0204843-8X",$A:$Y,COLUMN(E:E),FALSE),0)</f>
        <v>5</v>
      </c>
      <c r="F168" s="6">
        <f>_xlfn.IFNA(VLOOKUP("0204843-8X",$A:$Y,COLUMN(F:F),FALSE),0)</f>
        <v>84</v>
      </c>
      <c r="G168" s="6">
        <f>_xlfn.IFNA(VLOOKUP("0204843-8X",$A:$Y,COLUMN(G:G),FALSE),0)</f>
        <v>0</v>
      </c>
      <c r="H168">
        <f t="shared" si="1"/>
        <v>1.5904761904761904</v>
      </c>
      <c r="I168" s="6">
        <f t="shared" ref="I168:R168" si="4">_xlfn.IFNA(VLOOKUP("0204843-8X",$A:$Y,COLUMN(I:I),FALSE),0)</f>
        <v>133.6</v>
      </c>
      <c r="J168" s="6">
        <f t="shared" si="4"/>
        <v>0</v>
      </c>
      <c r="K168" s="6">
        <f t="shared" si="4"/>
        <v>1092243</v>
      </c>
      <c r="L168" s="6">
        <f t="shared" si="4"/>
        <v>0</v>
      </c>
      <c r="M168" s="7">
        <f t="shared" si="4"/>
        <v>1092243</v>
      </c>
      <c r="N168" s="6">
        <f t="shared" si="4"/>
        <v>54</v>
      </c>
      <c r="O168" s="6">
        <f t="shared" si="4"/>
        <v>5151.6000000000004</v>
      </c>
      <c r="P168" s="6">
        <f t="shared" si="4"/>
        <v>123723</v>
      </c>
      <c r="Q168">
        <f t="shared" si="4"/>
        <v>1215966</v>
      </c>
      <c r="R168">
        <f t="shared" si="4"/>
        <v>61113</v>
      </c>
    </row>
    <row r="169" spans="1:18" x14ac:dyDescent="0.25">
      <c r="A169"/>
      <c r="B169"/>
      <c r="C169"/>
      <c r="D169"/>
      <c r="E169"/>
      <c r="F169"/>
      <c r="G169" s="8"/>
      <c r="H169" s="145" t="s">
        <v>460</v>
      </c>
      <c r="I169"/>
      <c r="J169"/>
      <c r="K169"/>
      <c r="L169"/>
      <c r="M169"/>
      <c r="N169"/>
      <c r="O169"/>
      <c r="P169"/>
      <c r="Q169"/>
      <c r="R169"/>
    </row>
  </sheetData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4">
    <tabColor theme="0" tint="-4.9989318521683403E-2"/>
    <pageSetUpPr fitToPage="1"/>
  </sheetPr>
  <dimension ref="A1:AC158"/>
  <sheetViews>
    <sheetView showGridLines="0" workbookViewId="0"/>
  </sheetViews>
  <sheetFormatPr defaultColWidth="9.140625" defaultRowHeight="15" customHeight="1" x14ac:dyDescent="0.2"/>
  <cols>
    <col min="1" max="1" width="39.7109375" style="98" customWidth="1"/>
    <col min="2" max="2" width="9.5703125" style="98" customWidth="1"/>
    <col min="3" max="3" width="12.7109375" style="98" customWidth="1"/>
    <col min="4" max="5" width="11.7109375" style="98" customWidth="1"/>
    <col min="6" max="6" width="14.7109375" style="98" customWidth="1"/>
    <col min="7" max="8" width="12.7109375" style="98" customWidth="1"/>
    <col min="9" max="9" width="10.7109375" style="98" customWidth="1"/>
    <col min="10" max="11" width="12.7109375" style="98" customWidth="1"/>
    <col min="12" max="12" width="13.7109375" style="98" customWidth="1"/>
    <col min="13" max="13" width="14.7109375" style="98" customWidth="1"/>
    <col min="14" max="14" width="12.7109375" style="98" customWidth="1"/>
    <col min="15" max="15" width="6.7109375" style="98" hidden="1" customWidth="1"/>
    <col min="16" max="16" width="39.7109375" style="98" customWidth="1"/>
    <col min="17" max="17" width="9.5703125" style="98" customWidth="1"/>
    <col min="18" max="18" width="11.7109375" style="98" customWidth="1"/>
    <col min="19" max="19" width="14.7109375" style="98" customWidth="1"/>
    <col min="20" max="21" width="11.7109375" style="98" customWidth="1"/>
    <col min="22" max="23" width="14.7109375" style="98" customWidth="1"/>
    <col min="24" max="24" width="11.7109375" style="98" customWidth="1"/>
    <col min="25" max="25" width="14.7109375" style="98" customWidth="1"/>
    <col min="26" max="27" width="11.7109375" style="98" customWidth="1"/>
    <col min="28" max="28" width="12.7109375" style="98" customWidth="1"/>
    <col min="29" max="29" width="11.7109375" style="98" customWidth="1"/>
    <col min="30" max="16384" width="9.140625" style="98"/>
  </cols>
  <sheetData>
    <row r="1" spans="1:29" ht="15" customHeight="1" x14ac:dyDescent="0.25">
      <c r="A1" s="237" t="s">
        <v>527</v>
      </c>
    </row>
    <row r="2" spans="1:29" ht="15" customHeight="1" x14ac:dyDescent="0.25">
      <c r="A2" s="238" t="s">
        <v>627</v>
      </c>
      <c r="B2" s="10"/>
      <c r="C2" s="10"/>
      <c r="D2" s="8"/>
      <c r="E2" s="10"/>
      <c r="F2" s="10"/>
      <c r="G2" s="10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15" customHeight="1" x14ac:dyDescent="0.2">
      <c r="A3" s="321" t="s">
        <v>526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3"/>
      <c r="O3" s="239"/>
      <c r="P3" s="321" t="s">
        <v>526</v>
      </c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3"/>
    </row>
    <row r="4" spans="1:29" ht="15" customHeight="1" x14ac:dyDescent="0.2">
      <c r="A4" s="240"/>
      <c r="B4" s="241"/>
      <c r="C4" s="242">
        <v>1</v>
      </c>
      <c r="D4" s="242">
        <v>2</v>
      </c>
      <c r="E4" s="242">
        <v>3</v>
      </c>
      <c r="F4" s="242">
        <v>4</v>
      </c>
      <c r="G4" s="242">
        <v>5</v>
      </c>
      <c r="H4" s="242">
        <v>6</v>
      </c>
      <c r="I4" s="242">
        <v>7</v>
      </c>
      <c r="J4" s="242">
        <v>8</v>
      </c>
      <c r="K4" s="242">
        <v>9</v>
      </c>
      <c r="L4" s="242">
        <v>10</v>
      </c>
      <c r="M4" s="242">
        <v>11</v>
      </c>
      <c r="N4" s="243">
        <v>12</v>
      </c>
      <c r="O4" s="239"/>
      <c r="P4" s="240"/>
      <c r="Q4" s="241"/>
      <c r="R4" s="242">
        <v>13</v>
      </c>
      <c r="S4" s="242">
        <v>14</v>
      </c>
      <c r="T4" s="242">
        <v>15</v>
      </c>
      <c r="U4" s="242">
        <v>16</v>
      </c>
      <c r="V4" s="242">
        <v>17</v>
      </c>
      <c r="W4" s="242">
        <v>18</v>
      </c>
      <c r="X4" s="242">
        <v>19</v>
      </c>
      <c r="Y4" s="242">
        <v>20</v>
      </c>
      <c r="Z4" s="242">
        <v>21</v>
      </c>
      <c r="AA4" s="242">
        <v>22</v>
      </c>
      <c r="AB4" s="242">
        <v>23</v>
      </c>
      <c r="AC4" s="243">
        <v>24</v>
      </c>
    </row>
    <row r="5" spans="1:29" ht="15" customHeight="1" x14ac:dyDescent="0.2">
      <c r="A5" s="244" t="s">
        <v>0</v>
      </c>
      <c r="B5" s="245" t="s">
        <v>461</v>
      </c>
      <c r="C5" s="246" t="s">
        <v>480</v>
      </c>
      <c r="D5" s="247" t="s">
        <v>477</v>
      </c>
      <c r="E5" s="246" t="s">
        <v>215</v>
      </c>
      <c r="F5" s="246" t="s">
        <v>462</v>
      </c>
      <c r="G5" s="246" t="s">
        <v>479</v>
      </c>
      <c r="H5" s="246" t="s">
        <v>463</v>
      </c>
      <c r="I5" s="246" t="s">
        <v>464</v>
      </c>
      <c r="J5" s="246" t="s">
        <v>465</v>
      </c>
      <c r="K5" s="246" t="s">
        <v>466</v>
      </c>
      <c r="L5" s="246" t="s">
        <v>467</v>
      </c>
      <c r="M5" s="246" t="s">
        <v>11</v>
      </c>
      <c r="N5" s="248" t="s">
        <v>481</v>
      </c>
      <c r="O5" s="249"/>
      <c r="P5" s="244" t="s">
        <v>0</v>
      </c>
      <c r="Q5" s="245" t="s">
        <v>461</v>
      </c>
      <c r="R5" s="246" t="s">
        <v>468</v>
      </c>
      <c r="S5" s="246" t="s">
        <v>469</v>
      </c>
      <c r="T5" s="246" t="s">
        <v>470</v>
      </c>
      <c r="U5" s="246" t="s">
        <v>471</v>
      </c>
      <c r="V5" s="246" t="s">
        <v>472</v>
      </c>
      <c r="W5" s="246" t="s">
        <v>482</v>
      </c>
      <c r="X5" s="246" t="s">
        <v>473</v>
      </c>
      <c r="Y5" s="246" t="s">
        <v>474</v>
      </c>
      <c r="Z5" s="246" t="s">
        <v>483</v>
      </c>
      <c r="AA5" s="246" t="s">
        <v>484</v>
      </c>
      <c r="AB5" s="246" t="s">
        <v>475</v>
      </c>
      <c r="AC5" s="248" t="s">
        <v>476</v>
      </c>
    </row>
    <row r="6" spans="1:29" ht="15" customHeight="1" x14ac:dyDescent="0.2">
      <c r="A6" s="250" t="s">
        <v>171</v>
      </c>
      <c r="B6" s="10" t="s">
        <v>387</v>
      </c>
      <c r="C6" s="41">
        <v>50</v>
      </c>
      <c r="D6" s="41">
        <v>0</v>
      </c>
      <c r="E6" s="251">
        <v>0.43</v>
      </c>
      <c r="F6" s="252">
        <v>21.5</v>
      </c>
      <c r="G6" s="41">
        <v>20000</v>
      </c>
      <c r="H6" s="41">
        <v>146890</v>
      </c>
      <c r="I6" s="41">
        <v>0</v>
      </c>
      <c r="J6" s="252">
        <v>0</v>
      </c>
      <c r="K6" s="252">
        <v>0</v>
      </c>
      <c r="L6" s="252">
        <v>0</v>
      </c>
      <c r="M6" s="252">
        <v>0</v>
      </c>
      <c r="N6" s="125">
        <v>0</v>
      </c>
      <c r="O6" s="41"/>
      <c r="P6" s="250" t="s">
        <v>171</v>
      </c>
      <c r="Q6" s="10" t="s">
        <v>387</v>
      </c>
      <c r="R6" s="41">
        <v>0</v>
      </c>
      <c r="S6" s="252">
        <v>0</v>
      </c>
      <c r="T6" s="41">
        <v>0</v>
      </c>
      <c r="U6" s="41">
        <v>0</v>
      </c>
      <c r="V6" s="252">
        <v>0</v>
      </c>
      <c r="W6" s="41">
        <v>0</v>
      </c>
      <c r="X6" s="41">
        <v>0</v>
      </c>
      <c r="Y6" s="252">
        <v>0</v>
      </c>
      <c r="Z6" s="41">
        <v>0</v>
      </c>
      <c r="AA6" s="41">
        <v>0</v>
      </c>
      <c r="AB6" s="41">
        <v>146890</v>
      </c>
      <c r="AC6" s="125">
        <v>0</v>
      </c>
    </row>
    <row r="7" spans="1:29" ht="15" customHeight="1" x14ac:dyDescent="0.2">
      <c r="A7" s="250" t="s">
        <v>445</v>
      </c>
      <c r="B7" s="10" t="s">
        <v>444</v>
      </c>
      <c r="C7" s="41">
        <v>3876</v>
      </c>
      <c r="D7" s="41">
        <v>800</v>
      </c>
      <c r="E7" s="251">
        <v>0.80830920755881797</v>
      </c>
      <c r="F7" s="252">
        <v>3133</v>
      </c>
      <c r="G7" s="41">
        <v>0</v>
      </c>
      <c r="H7" s="41">
        <v>18490480</v>
      </c>
      <c r="I7" s="41">
        <v>2492</v>
      </c>
      <c r="J7" s="252">
        <v>64352.079752999969</v>
      </c>
      <c r="K7" s="252">
        <v>360602.78571488993</v>
      </c>
      <c r="L7" s="252">
        <v>229995.25028603646</v>
      </c>
      <c r="M7" s="252">
        <v>294347.3</v>
      </c>
      <c r="N7" s="125">
        <v>6964927</v>
      </c>
      <c r="O7" s="41"/>
      <c r="P7" s="250" t="s">
        <v>445</v>
      </c>
      <c r="Q7" s="10" t="s">
        <v>444</v>
      </c>
      <c r="R7" s="41">
        <v>1870</v>
      </c>
      <c r="S7" s="252">
        <v>4670.5</v>
      </c>
      <c r="T7" s="41">
        <v>3423540</v>
      </c>
      <c r="U7" s="41">
        <v>17262.429378531073</v>
      </c>
      <c r="V7" s="252">
        <v>21630.1</v>
      </c>
      <c r="W7" s="41">
        <v>201026</v>
      </c>
      <c r="X7" s="41">
        <v>33344.877570793149</v>
      </c>
      <c r="Y7" s="252">
        <v>82262.7</v>
      </c>
      <c r="Z7" s="41">
        <v>431227</v>
      </c>
      <c r="AA7" s="41">
        <v>4055793</v>
      </c>
      <c r="AB7" s="41">
        <v>29511200</v>
      </c>
      <c r="AC7" s="125">
        <v>1258264</v>
      </c>
    </row>
    <row r="8" spans="1:29" ht="15" customHeight="1" x14ac:dyDescent="0.2">
      <c r="A8" s="250" t="s">
        <v>18</v>
      </c>
      <c r="B8" s="10" t="s">
        <v>386</v>
      </c>
      <c r="C8" s="41">
        <v>349</v>
      </c>
      <c r="D8" s="41">
        <v>0</v>
      </c>
      <c r="E8" s="251">
        <v>1.2094488730235278</v>
      </c>
      <c r="F8" s="252">
        <v>422.1</v>
      </c>
      <c r="G8" s="41">
        <v>0</v>
      </c>
      <c r="H8" s="41">
        <v>2491169</v>
      </c>
      <c r="I8" s="41">
        <v>160</v>
      </c>
      <c r="J8" s="252">
        <v>7811.5124939999996</v>
      </c>
      <c r="K8" s="252">
        <v>33972</v>
      </c>
      <c r="L8" s="252">
        <v>33684.103000000003</v>
      </c>
      <c r="M8" s="252">
        <v>41495.599999999999</v>
      </c>
      <c r="N8" s="125">
        <v>981880</v>
      </c>
      <c r="O8" s="41"/>
      <c r="P8" s="250" t="s">
        <v>18</v>
      </c>
      <c r="Q8" s="10" t="s">
        <v>386</v>
      </c>
      <c r="R8" s="41">
        <v>92</v>
      </c>
      <c r="S8" s="252">
        <v>335.9</v>
      </c>
      <c r="T8" s="41">
        <v>246219</v>
      </c>
      <c r="U8" s="41">
        <v>1841.9917355371902</v>
      </c>
      <c r="V8" s="252">
        <v>2344.3000000000002</v>
      </c>
      <c r="W8" s="41">
        <v>21788</v>
      </c>
      <c r="X8" s="41">
        <v>3378</v>
      </c>
      <c r="Y8" s="252">
        <v>12809.9</v>
      </c>
      <c r="Z8" s="41">
        <v>67150</v>
      </c>
      <c r="AA8" s="41">
        <v>335157</v>
      </c>
      <c r="AB8" s="41">
        <v>3808206</v>
      </c>
      <c r="AC8" s="125">
        <v>383471</v>
      </c>
    </row>
    <row r="9" spans="1:29" ht="15" customHeight="1" x14ac:dyDescent="0.2">
      <c r="A9" s="250" t="s">
        <v>181</v>
      </c>
      <c r="B9" s="10" t="s">
        <v>383</v>
      </c>
      <c r="C9" s="41">
        <v>20</v>
      </c>
      <c r="D9" s="41">
        <v>0</v>
      </c>
      <c r="E9" s="251">
        <v>0.86732533904518883</v>
      </c>
      <c r="F9" s="252">
        <v>17.3</v>
      </c>
      <c r="G9" s="41">
        <v>1250000</v>
      </c>
      <c r="H9" s="41">
        <v>1352102</v>
      </c>
      <c r="I9" s="41">
        <v>8</v>
      </c>
      <c r="J9" s="252">
        <v>409.86</v>
      </c>
      <c r="K9" s="252">
        <v>1080</v>
      </c>
      <c r="L9" s="252">
        <v>1069.2</v>
      </c>
      <c r="M9" s="252">
        <v>1479.1</v>
      </c>
      <c r="N9" s="125">
        <v>34999</v>
      </c>
      <c r="O9" s="41"/>
      <c r="P9" s="250" t="s">
        <v>181</v>
      </c>
      <c r="Q9" s="10" t="s">
        <v>383</v>
      </c>
      <c r="R9" s="41">
        <v>12</v>
      </c>
      <c r="S9" s="252">
        <v>32.5</v>
      </c>
      <c r="T9" s="41">
        <v>23823</v>
      </c>
      <c r="U9" s="41">
        <v>0</v>
      </c>
      <c r="V9" s="252">
        <v>0</v>
      </c>
      <c r="W9" s="41">
        <v>0</v>
      </c>
      <c r="X9" s="41">
        <v>0</v>
      </c>
      <c r="Y9" s="252">
        <v>0</v>
      </c>
      <c r="Z9" s="41">
        <v>0</v>
      </c>
      <c r="AA9" s="41">
        <v>23823</v>
      </c>
      <c r="AB9" s="41">
        <v>1410924</v>
      </c>
      <c r="AC9" s="125">
        <v>45032</v>
      </c>
    </row>
    <row r="10" spans="1:29" ht="15" customHeight="1" x14ac:dyDescent="0.2">
      <c r="A10" s="250" t="s">
        <v>19</v>
      </c>
      <c r="B10" s="10" t="s">
        <v>385</v>
      </c>
      <c r="C10" s="41">
        <v>96</v>
      </c>
      <c r="D10" s="41">
        <v>0</v>
      </c>
      <c r="E10" s="251">
        <v>5.4551501623901757</v>
      </c>
      <c r="F10" s="252">
        <v>523.70000000000005</v>
      </c>
      <c r="G10" s="41">
        <v>0</v>
      </c>
      <c r="H10" s="41">
        <v>3090796</v>
      </c>
      <c r="I10" s="41">
        <v>26</v>
      </c>
      <c r="J10" s="252">
        <v>6526.08</v>
      </c>
      <c r="K10" s="252">
        <v>4492</v>
      </c>
      <c r="L10" s="252">
        <v>15512.089999999998</v>
      </c>
      <c r="M10" s="252">
        <v>22038.2</v>
      </c>
      <c r="N10" s="125">
        <v>521474</v>
      </c>
      <c r="O10" s="41"/>
      <c r="P10" s="250" t="s">
        <v>19</v>
      </c>
      <c r="Q10" s="10" t="s">
        <v>385</v>
      </c>
      <c r="R10" s="41">
        <v>0</v>
      </c>
      <c r="S10" s="252">
        <v>0</v>
      </c>
      <c r="T10" s="41">
        <v>0</v>
      </c>
      <c r="U10" s="41">
        <v>395</v>
      </c>
      <c r="V10" s="252">
        <v>395</v>
      </c>
      <c r="W10" s="41">
        <v>3671</v>
      </c>
      <c r="X10" s="41">
        <v>940</v>
      </c>
      <c r="Y10" s="252">
        <v>2820</v>
      </c>
      <c r="Z10" s="41">
        <v>14783</v>
      </c>
      <c r="AA10" s="41">
        <v>18454</v>
      </c>
      <c r="AB10" s="41">
        <v>3630724</v>
      </c>
      <c r="AC10" s="125">
        <v>111638</v>
      </c>
    </row>
    <row r="11" spans="1:29" ht="15" customHeight="1" x14ac:dyDescent="0.2">
      <c r="A11" s="250" t="s">
        <v>22</v>
      </c>
      <c r="B11" s="10" t="s">
        <v>384</v>
      </c>
      <c r="C11" s="41">
        <v>1126</v>
      </c>
      <c r="D11" s="41">
        <v>0</v>
      </c>
      <c r="E11" s="251">
        <v>4.9254666872708039</v>
      </c>
      <c r="F11" s="252">
        <v>5546.1</v>
      </c>
      <c r="G11" s="41">
        <v>100000</v>
      </c>
      <c r="H11" s="41">
        <v>32832222</v>
      </c>
      <c r="I11" s="41">
        <v>220</v>
      </c>
      <c r="J11" s="252">
        <v>58961.306344000004</v>
      </c>
      <c r="K11" s="252">
        <v>38897</v>
      </c>
      <c r="L11" s="252">
        <v>157205.54500000004</v>
      </c>
      <c r="M11" s="252">
        <v>216166.9</v>
      </c>
      <c r="N11" s="125">
        <v>5115001</v>
      </c>
      <c r="O11" s="41"/>
      <c r="P11" s="250" t="s">
        <v>22</v>
      </c>
      <c r="Q11" s="10" t="s">
        <v>384</v>
      </c>
      <c r="R11" s="41">
        <v>65</v>
      </c>
      <c r="S11" s="252">
        <v>415.2</v>
      </c>
      <c r="T11" s="41">
        <v>304347</v>
      </c>
      <c r="U11" s="41">
        <v>4884</v>
      </c>
      <c r="V11" s="252">
        <v>5278.7</v>
      </c>
      <c r="W11" s="41">
        <v>49059</v>
      </c>
      <c r="X11" s="41">
        <v>15704.03140625</v>
      </c>
      <c r="Y11" s="252">
        <v>29997.599999999999</v>
      </c>
      <c r="Z11" s="41">
        <v>157249</v>
      </c>
      <c r="AA11" s="41">
        <v>510655</v>
      </c>
      <c r="AB11" s="41">
        <v>38457878</v>
      </c>
      <c r="AC11" s="125">
        <v>2068624</v>
      </c>
    </row>
    <row r="12" spans="1:29" ht="15" customHeight="1" x14ac:dyDescent="0.2">
      <c r="A12" s="250" t="s">
        <v>198</v>
      </c>
      <c r="B12" s="10" t="s">
        <v>382</v>
      </c>
      <c r="C12" s="41">
        <v>77</v>
      </c>
      <c r="D12" s="41">
        <v>0</v>
      </c>
      <c r="E12" s="251">
        <v>0.56865015725101997</v>
      </c>
      <c r="F12" s="252">
        <v>43.8</v>
      </c>
      <c r="G12" s="41">
        <v>0</v>
      </c>
      <c r="H12" s="41">
        <v>258501</v>
      </c>
      <c r="I12" s="41">
        <v>138</v>
      </c>
      <c r="J12" s="252">
        <v>1453.6726279999998</v>
      </c>
      <c r="K12" s="252">
        <v>10440</v>
      </c>
      <c r="L12" s="252">
        <v>8925.3360000000011</v>
      </c>
      <c r="M12" s="252">
        <v>5489.2</v>
      </c>
      <c r="N12" s="125">
        <v>129887</v>
      </c>
      <c r="O12" s="41"/>
      <c r="P12" s="250" t="s">
        <v>198</v>
      </c>
      <c r="Q12" s="10" t="s">
        <v>382</v>
      </c>
      <c r="R12" s="41">
        <v>60</v>
      </c>
      <c r="S12" s="252">
        <v>124.6</v>
      </c>
      <c r="T12" s="41">
        <v>91333</v>
      </c>
      <c r="U12" s="41">
        <v>2616</v>
      </c>
      <c r="V12" s="252">
        <v>3063.9</v>
      </c>
      <c r="W12" s="41">
        <v>28475</v>
      </c>
      <c r="X12" s="41">
        <v>3880</v>
      </c>
      <c r="Y12" s="252">
        <v>14847.8</v>
      </c>
      <c r="Z12" s="41">
        <v>77833</v>
      </c>
      <c r="AA12" s="41">
        <v>197641</v>
      </c>
      <c r="AB12" s="41">
        <v>586029</v>
      </c>
      <c r="AC12" s="125">
        <v>37781</v>
      </c>
    </row>
    <row r="13" spans="1:29" ht="15" customHeight="1" x14ac:dyDescent="0.2">
      <c r="A13" s="250" t="s">
        <v>23</v>
      </c>
      <c r="B13" s="10" t="s">
        <v>381</v>
      </c>
      <c r="C13" s="41">
        <v>1731</v>
      </c>
      <c r="D13" s="41">
        <v>25</v>
      </c>
      <c r="E13" s="251">
        <v>1.0397313269662878</v>
      </c>
      <c r="F13" s="252">
        <v>1799.8</v>
      </c>
      <c r="G13" s="41">
        <v>0</v>
      </c>
      <c r="H13" s="41">
        <v>10622141</v>
      </c>
      <c r="I13" s="41">
        <v>693</v>
      </c>
      <c r="J13" s="252">
        <v>31797.86806099999</v>
      </c>
      <c r="K13" s="252">
        <v>113017.5</v>
      </c>
      <c r="L13" s="252">
        <v>105092.29250000001</v>
      </c>
      <c r="M13" s="252">
        <v>136890.20000000001</v>
      </c>
      <c r="N13" s="125">
        <v>3239134</v>
      </c>
      <c r="O13" s="41"/>
      <c r="P13" s="250" t="s">
        <v>23</v>
      </c>
      <c r="Q13" s="10" t="s">
        <v>381</v>
      </c>
      <c r="R13" s="41">
        <v>512</v>
      </c>
      <c r="S13" s="252">
        <v>1774.6</v>
      </c>
      <c r="T13" s="41">
        <v>1300806</v>
      </c>
      <c r="U13" s="41">
        <v>8103</v>
      </c>
      <c r="V13" s="252">
        <v>10276</v>
      </c>
      <c r="W13" s="41">
        <v>95503</v>
      </c>
      <c r="X13" s="41">
        <v>19265.879436843152</v>
      </c>
      <c r="Y13" s="252">
        <v>41845.9</v>
      </c>
      <c r="Z13" s="41">
        <v>219359</v>
      </c>
      <c r="AA13" s="41">
        <v>1615668</v>
      </c>
      <c r="AB13" s="41">
        <v>15476943</v>
      </c>
      <c r="AC13" s="125">
        <v>1127738</v>
      </c>
    </row>
    <row r="14" spans="1:29" ht="15" customHeight="1" x14ac:dyDescent="0.2">
      <c r="A14" s="250" t="s">
        <v>199</v>
      </c>
      <c r="B14" s="10" t="s">
        <v>217</v>
      </c>
      <c r="C14" s="41">
        <v>3004</v>
      </c>
      <c r="D14" s="41">
        <v>180</v>
      </c>
      <c r="E14" s="251">
        <v>0.92108631199293245</v>
      </c>
      <c r="F14" s="252">
        <v>2766.9</v>
      </c>
      <c r="G14" s="41">
        <v>100000</v>
      </c>
      <c r="H14" s="41">
        <v>16429815</v>
      </c>
      <c r="I14" s="41">
        <v>1657</v>
      </c>
      <c r="J14" s="252">
        <v>61671.749606000027</v>
      </c>
      <c r="K14" s="252">
        <v>243989.64285727</v>
      </c>
      <c r="L14" s="252">
        <v>193480.00087149657</v>
      </c>
      <c r="M14" s="252">
        <v>255151.8</v>
      </c>
      <c r="N14" s="125">
        <v>6037473</v>
      </c>
      <c r="O14" s="41"/>
      <c r="P14" s="250" t="s">
        <v>199</v>
      </c>
      <c r="Q14" s="10" t="s">
        <v>217</v>
      </c>
      <c r="R14" s="41">
        <v>993</v>
      </c>
      <c r="S14" s="252">
        <v>2929.4</v>
      </c>
      <c r="T14" s="41">
        <v>2147290</v>
      </c>
      <c r="U14" s="41">
        <v>26027</v>
      </c>
      <c r="V14" s="252">
        <v>33320.400000000001</v>
      </c>
      <c r="W14" s="41">
        <v>309674</v>
      </c>
      <c r="X14" s="41">
        <v>78375.154138751939</v>
      </c>
      <c r="Y14" s="252">
        <v>206885.7</v>
      </c>
      <c r="Z14" s="41">
        <v>1084509</v>
      </c>
      <c r="AA14" s="41">
        <v>3541473</v>
      </c>
      <c r="AB14" s="41">
        <v>26008761</v>
      </c>
      <c r="AC14" s="125">
        <v>1414984</v>
      </c>
    </row>
    <row r="15" spans="1:29" ht="15" customHeight="1" x14ac:dyDescent="0.2">
      <c r="A15" s="250" t="s">
        <v>24</v>
      </c>
      <c r="B15" s="10" t="s">
        <v>379</v>
      </c>
      <c r="C15" s="41">
        <v>10</v>
      </c>
      <c r="D15" s="41">
        <v>10</v>
      </c>
      <c r="E15" s="251">
        <v>0.67374999999999985</v>
      </c>
      <c r="F15" s="252">
        <v>6.7</v>
      </c>
      <c r="G15" s="41">
        <v>0</v>
      </c>
      <c r="H15" s="41">
        <v>39542</v>
      </c>
      <c r="I15" s="41">
        <v>13</v>
      </c>
      <c r="J15" s="252">
        <v>149.68785399999999</v>
      </c>
      <c r="K15" s="252">
        <v>1440</v>
      </c>
      <c r="L15" s="252">
        <v>737.1</v>
      </c>
      <c r="M15" s="252">
        <v>694</v>
      </c>
      <c r="N15" s="125">
        <v>16422</v>
      </c>
      <c r="O15" s="41"/>
      <c r="P15" s="250" t="s">
        <v>24</v>
      </c>
      <c r="Q15" s="10" t="s">
        <v>379</v>
      </c>
      <c r="R15" s="41">
        <v>0</v>
      </c>
      <c r="S15" s="252">
        <v>0</v>
      </c>
      <c r="T15" s="41">
        <v>0</v>
      </c>
      <c r="U15" s="41">
        <v>595</v>
      </c>
      <c r="V15" s="252">
        <v>657.6</v>
      </c>
      <c r="W15" s="41">
        <v>6112</v>
      </c>
      <c r="X15" s="41">
        <v>2077.5236294896031</v>
      </c>
      <c r="Y15" s="252">
        <v>3291</v>
      </c>
      <c r="Z15" s="41">
        <v>17252</v>
      </c>
      <c r="AA15" s="41">
        <v>23364</v>
      </c>
      <c r="AB15" s="41">
        <v>79328</v>
      </c>
      <c r="AC15" s="125">
        <v>0</v>
      </c>
    </row>
    <row r="16" spans="1:29" ht="15" customHeight="1" x14ac:dyDescent="0.2">
      <c r="A16" s="250" t="s">
        <v>25</v>
      </c>
      <c r="B16" s="10" t="s">
        <v>378</v>
      </c>
      <c r="C16" s="41">
        <v>6553</v>
      </c>
      <c r="D16" s="41">
        <v>220</v>
      </c>
      <c r="E16" s="251">
        <v>0.9874384368953758</v>
      </c>
      <c r="F16" s="252">
        <v>6470.7</v>
      </c>
      <c r="G16" s="41">
        <v>210000</v>
      </c>
      <c r="H16" s="41">
        <v>38399068</v>
      </c>
      <c r="I16" s="41">
        <v>3194</v>
      </c>
      <c r="J16" s="252">
        <v>144956.45711899997</v>
      </c>
      <c r="K16" s="252">
        <v>499226.99999996996</v>
      </c>
      <c r="L16" s="252">
        <v>431028.75349998398</v>
      </c>
      <c r="M16" s="252">
        <v>575985.19999999995</v>
      </c>
      <c r="N16" s="125">
        <v>13629121</v>
      </c>
      <c r="O16" s="41"/>
      <c r="P16" s="250" t="s">
        <v>25</v>
      </c>
      <c r="Q16" s="10" t="s">
        <v>378</v>
      </c>
      <c r="R16" s="41">
        <v>2303</v>
      </c>
      <c r="S16" s="252">
        <v>7446.3</v>
      </c>
      <c r="T16" s="41">
        <v>5458239</v>
      </c>
      <c r="U16" s="41">
        <v>35759</v>
      </c>
      <c r="V16" s="252">
        <v>45607</v>
      </c>
      <c r="W16" s="41">
        <v>423864</v>
      </c>
      <c r="X16" s="41">
        <v>64067.629345440764</v>
      </c>
      <c r="Y16" s="252">
        <v>127313</v>
      </c>
      <c r="Z16" s="41">
        <v>667383</v>
      </c>
      <c r="AA16" s="41">
        <v>6549486</v>
      </c>
      <c r="AB16" s="41">
        <v>58577675</v>
      </c>
      <c r="AC16" s="125">
        <v>0</v>
      </c>
    </row>
    <row r="17" spans="1:29" ht="15" customHeight="1" x14ac:dyDescent="0.2">
      <c r="A17" s="250" t="s">
        <v>26</v>
      </c>
      <c r="B17" s="10" t="s">
        <v>377</v>
      </c>
      <c r="C17" s="41">
        <v>3139</v>
      </c>
      <c r="D17" s="41">
        <v>210</v>
      </c>
      <c r="E17" s="251">
        <v>1.0260961768909034</v>
      </c>
      <c r="F17" s="252">
        <v>3220.9</v>
      </c>
      <c r="G17" s="41">
        <v>100000</v>
      </c>
      <c r="H17" s="41">
        <v>19109252</v>
      </c>
      <c r="I17" s="41">
        <v>1342</v>
      </c>
      <c r="J17" s="252">
        <v>67193.294007000019</v>
      </c>
      <c r="K17" s="252">
        <v>216942.42857071996</v>
      </c>
      <c r="L17" s="252">
        <v>206126.56951390696</v>
      </c>
      <c r="M17" s="252">
        <v>273319.90000000002</v>
      </c>
      <c r="N17" s="125">
        <v>6467371</v>
      </c>
      <c r="O17" s="41"/>
      <c r="P17" s="250" t="s">
        <v>26</v>
      </c>
      <c r="Q17" s="10" t="s">
        <v>377</v>
      </c>
      <c r="R17" s="41">
        <v>912</v>
      </c>
      <c r="S17" s="252">
        <v>3442.4</v>
      </c>
      <c r="T17" s="41">
        <v>2523326</v>
      </c>
      <c r="U17" s="41">
        <v>23428</v>
      </c>
      <c r="V17" s="252">
        <v>27654.6</v>
      </c>
      <c r="W17" s="41">
        <v>257017</v>
      </c>
      <c r="X17" s="41">
        <v>65862.107971540783</v>
      </c>
      <c r="Y17" s="252">
        <v>167706</v>
      </c>
      <c r="Z17" s="41">
        <v>879126</v>
      </c>
      <c r="AA17" s="41">
        <v>3659469</v>
      </c>
      <c r="AB17" s="41">
        <v>29236092</v>
      </c>
      <c r="AC17" s="125">
        <v>0</v>
      </c>
    </row>
    <row r="18" spans="1:29" ht="15" customHeight="1" x14ac:dyDescent="0.2">
      <c r="A18" s="250" t="s">
        <v>27</v>
      </c>
      <c r="B18" s="10" t="s">
        <v>375</v>
      </c>
      <c r="C18" s="41">
        <v>2600</v>
      </c>
      <c r="D18" s="41">
        <v>150</v>
      </c>
      <c r="E18" s="251">
        <v>1.1654110578266805</v>
      </c>
      <c r="F18" s="252">
        <v>3030.1</v>
      </c>
      <c r="G18" s="41">
        <v>90000</v>
      </c>
      <c r="H18" s="41">
        <v>17973180</v>
      </c>
      <c r="I18" s="41">
        <v>1220</v>
      </c>
      <c r="J18" s="252">
        <v>62252.502635000033</v>
      </c>
      <c r="K18" s="252">
        <v>181049.5</v>
      </c>
      <c r="L18" s="252">
        <v>184907.67869999999</v>
      </c>
      <c r="M18" s="252">
        <v>247160.2</v>
      </c>
      <c r="N18" s="125">
        <v>5848373</v>
      </c>
      <c r="O18" s="41"/>
      <c r="P18" s="250" t="s">
        <v>27</v>
      </c>
      <c r="Q18" s="10" t="s">
        <v>375</v>
      </c>
      <c r="R18" s="41">
        <v>873</v>
      </c>
      <c r="S18" s="252">
        <v>3105.7</v>
      </c>
      <c r="T18" s="41">
        <v>2276520</v>
      </c>
      <c r="U18" s="41">
        <v>16671.282565130259</v>
      </c>
      <c r="V18" s="252">
        <v>21216.1</v>
      </c>
      <c r="W18" s="41">
        <v>197179</v>
      </c>
      <c r="X18" s="41">
        <v>33044.448750000003</v>
      </c>
      <c r="Y18" s="252">
        <v>68732.2</v>
      </c>
      <c r="Z18" s="41">
        <v>360299</v>
      </c>
      <c r="AA18" s="41">
        <v>2833998</v>
      </c>
      <c r="AB18" s="41">
        <v>26655551</v>
      </c>
      <c r="AC18" s="125">
        <v>1602121</v>
      </c>
    </row>
    <row r="19" spans="1:29" ht="15" customHeight="1" x14ac:dyDescent="0.2">
      <c r="A19" s="250" t="s">
        <v>28</v>
      </c>
      <c r="B19" s="10" t="s">
        <v>374</v>
      </c>
      <c r="C19" s="41">
        <v>37</v>
      </c>
      <c r="D19" s="41">
        <v>0</v>
      </c>
      <c r="E19" s="251">
        <v>0.83689239543726235</v>
      </c>
      <c r="F19" s="252">
        <v>31</v>
      </c>
      <c r="G19" s="41">
        <v>0</v>
      </c>
      <c r="H19" s="41">
        <v>182957</v>
      </c>
      <c r="I19" s="41">
        <v>12</v>
      </c>
      <c r="J19" s="252">
        <v>275.35983399999998</v>
      </c>
      <c r="K19" s="252">
        <v>1470</v>
      </c>
      <c r="L19" s="252">
        <v>785.86200000000008</v>
      </c>
      <c r="M19" s="252">
        <v>1061.2</v>
      </c>
      <c r="N19" s="125">
        <v>25110</v>
      </c>
      <c r="O19" s="41"/>
      <c r="P19" s="250" t="s">
        <v>28</v>
      </c>
      <c r="Q19" s="10" t="s">
        <v>374</v>
      </c>
      <c r="R19" s="41">
        <v>17</v>
      </c>
      <c r="S19" s="252">
        <v>62.5</v>
      </c>
      <c r="T19" s="41">
        <v>45813</v>
      </c>
      <c r="U19" s="41">
        <v>449</v>
      </c>
      <c r="V19" s="252">
        <v>518.1</v>
      </c>
      <c r="W19" s="41">
        <v>4815</v>
      </c>
      <c r="X19" s="41">
        <v>2268.5207100591715</v>
      </c>
      <c r="Y19" s="252">
        <v>3754</v>
      </c>
      <c r="Z19" s="41">
        <v>19679</v>
      </c>
      <c r="AA19" s="41">
        <v>70307</v>
      </c>
      <c r="AB19" s="41">
        <v>278374</v>
      </c>
      <c r="AC19" s="125">
        <v>7870</v>
      </c>
    </row>
    <row r="20" spans="1:29" ht="15" customHeight="1" x14ac:dyDescent="0.2">
      <c r="A20" s="250" t="s">
        <v>173</v>
      </c>
      <c r="B20" s="10" t="s">
        <v>373</v>
      </c>
      <c r="C20" s="41">
        <v>73</v>
      </c>
      <c r="D20" s="41">
        <v>0</v>
      </c>
      <c r="E20" s="251">
        <v>0.43</v>
      </c>
      <c r="F20" s="252">
        <v>31.4</v>
      </c>
      <c r="G20" s="41">
        <v>660000</v>
      </c>
      <c r="H20" s="41">
        <v>845318</v>
      </c>
      <c r="I20" s="41">
        <v>0</v>
      </c>
      <c r="J20" s="252">
        <v>0</v>
      </c>
      <c r="K20" s="252">
        <v>0</v>
      </c>
      <c r="L20" s="252">
        <v>0</v>
      </c>
      <c r="M20" s="252">
        <v>0</v>
      </c>
      <c r="N20" s="125">
        <v>0</v>
      </c>
      <c r="O20" s="41"/>
      <c r="P20" s="250" t="s">
        <v>173</v>
      </c>
      <c r="Q20" s="10" t="s">
        <v>373</v>
      </c>
      <c r="R20" s="41">
        <v>0</v>
      </c>
      <c r="S20" s="252">
        <v>0</v>
      </c>
      <c r="T20" s="41">
        <v>0</v>
      </c>
      <c r="U20" s="41">
        <v>0</v>
      </c>
      <c r="V20" s="252">
        <v>0</v>
      </c>
      <c r="W20" s="41">
        <v>0</v>
      </c>
      <c r="X20" s="41">
        <v>0</v>
      </c>
      <c r="Y20" s="252">
        <v>0</v>
      </c>
      <c r="Z20" s="41">
        <v>0</v>
      </c>
      <c r="AA20" s="41">
        <v>0</v>
      </c>
      <c r="AB20" s="41">
        <v>845318</v>
      </c>
      <c r="AC20" s="125">
        <v>188861</v>
      </c>
    </row>
    <row r="21" spans="1:29" ht="15" customHeight="1" x14ac:dyDescent="0.2">
      <c r="A21" s="250" t="s">
        <v>29</v>
      </c>
      <c r="B21" s="10" t="s">
        <v>372</v>
      </c>
      <c r="C21" s="41">
        <v>112</v>
      </c>
      <c r="D21" s="41">
        <v>0</v>
      </c>
      <c r="E21" s="251">
        <v>1.8210134644766369</v>
      </c>
      <c r="F21" s="252">
        <v>204</v>
      </c>
      <c r="G21" s="41">
        <v>0</v>
      </c>
      <c r="H21" s="41">
        <v>1203976</v>
      </c>
      <c r="I21" s="41">
        <v>47</v>
      </c>
      <c r="J21" s="252">
        <v>3185.1859720000002</v>
      </c>
      <c r="K21" s="252">
        <v>7757.5</v>
      </c>
      <c r="L21" s="252">
        <v>11748.197500000002</v>
      </c>
      <c r="M21" s="252">
        <v>14933.4</v>
      </c>
      <c r="N21" s="125">
        <v>353358</v>
      </c>
      <c r="O21" s="41"/>
      <c r="P21" s="250" t="s">
        <v>29</v>
      </c>
      <c r="Q21" s="10" t="s">
        <v>372</v>
      </c>
      <c r="R21" s="41">
        <v>35</v>
      </c>
      <c r="S21" s="252">
        <v>103.3</v>
      </c>
      <c r="T21" s="41">
        <v>75720</v>
      </c>
      <c r="U21" s="41">
        <v>844</v>
      </c>
      <c r="V21" s="252">
        <v>928.4</v>
      </c>
      <c r="W21" s="41">
        <v>8628</v>
      </c>
      <c r="X21" s="41">
        <v>4552.8472222222217</v>
      </c>
      <c r="Y21" s="252">
        <v>7374.8</v>
      </c>
      <c r="Z21" s="41">
        <v>38659</v>
      </c>
      <c r="AA21" s="41">
        <v>123007</v>
      </c>
      <c r="AB21" s="41">
        <v>1680341</v>
      </c>
      <c r="AC21" s="125">
        <v>103017</v>
      </c>
    </row>
    <row r="22" spans="1:29" ht="15" customHeight="1" x14ac:dyDescent="0.2">
      <c r="A22" s="250" t="s">
        <v>459</v>
      </c>
      <c r="B22" s="10" t="s">
        <v>371</v>
      </c>
      <c r="C22" s="41">
        <v>26</v>
      </c>
      <c r="D22" s="41">
        <v>0</v>
      </c>
      <c r="E22" s="251">
        <v>1.3875253549695732</v>
      </c>
      <c r="F22" s="252">
        <v>36.1</v>
      </c>
      <c r="G22" s="41">
        <v>0</v>
      </c>
      <c r="H22" s="41">
        <v>213057</v>
      </c>
      <c r="I22" s="41">
        <v>9</v>
      </c>
      <c r="J22" s="252">
        <v>641.52</v>
      </c>
      <c r="K22" s="252">
        <v>1588</v>
      </c>
      <c r="L22" s="252">
        <v>1488.6</v>
      </c>
      <c r="M22" s="252">
        <v>2130.1</v>
      </c>
      <c r="N22" s="125">
        <v>50403</v>
      </c>
      <c r="O22" s="41"/>
      <c r="P22" s="250" t="s">
        <v>459</v>
      </c>
      <c r="Q22" s="10" t="s">
        <v>371</v>
      </c>
      <c r="R22" s="41">
        <v>10</v>
      </c>
      <c r="S22" s="252">
        <v>39.5</v>
      </c>
      <c r="T22" s="41">
        <v>28954</v>
      </c>
      <c r="U22" s="41">
        <v>48</v>
      </c>
      <c r="V22" s="252">
        <v>61.1</v>
      </c>
      <c r="W22" s="41">
        <v>568</v>
      </c>
      <c r="X22" s="41">
        <v>241</v>
      </c>
      <c r="Y22" s="252">
        <v>919</v>
      </c>
      <c r="Z22" s="41">
        <v>4817</v>
      </c>
      <c r="AA22" s="41">
        <v>34339</v>
      </c>
      <c r="AB22" s="41">
        <v>297799</v>
      </c>
      <c r="AC22" s="125">
        <v>0</v>
      </c>
    </row>
    <row r="23" spans="1:29" ht="15" customHeight="1" x14ac:dyDescent="0.2">
      <c r="A23" s="250" t="s">
        <v>146</v>
      </c>
      <c r="B23" s="10" t="s">
        <v>370</v>
      </c>
      <c r="C23" s="41">
        <v>29</v>
      </c>
      <c r="D23" s="41">
        <v>0</v>
      </c>
      <c r="E23" s="251">
        <v>0.7622999999999982</v>
      </c>
      <c r="F23" s="252">
        <v>22.1</v>
      </c>
      <c r="G23" s="41">
        <v>0</v>
      </c>
      <c r="H23" s="41">
        <v>130431</v>
      </c>
      <c r="I23" s="41">
        <v>105</v>
      </c>
      <c r="J23" s="252">
        <v>1841.1611559999999</v>
      </c>
      <c r="K23" s="252">
        <v>4320.0000000000009</v>
      </c>
      <c r="L23" s="252">
        <v>8933.2875000000004</v>
      </c>
      <c r="M23" s="252">
        <v>4153.8</v>
      </c>
      <c r="N23" s="125">
        <v>98288</v>
      </c>
      <c r="O23" s="41"/>
      <c r="P23" s="250" t="s">
        <v>146</v>
      </c>
      <c r="Q23" s="10" t="s">
        <v>370</v>
      </c>
      <c r="R23" s="41">
        <v>15</v>
      </c>
      <c r="S23" s="252">
        <v>41</v>
      </c>
      <c r="T23" s="41">
        <v>30054</v>
      </c>
      <c r="U23" s="41">
        <v>0</v>
      </c>
      <c r="V23" s="252">
        <v>0</v>
      </c>
      <c r="W23" s="41">
        <v>0</v>
      </c>
      <c r="X23" s="41">
        <v>2044.1428571428571</v>
      </c>
      <c r="Y23" s="252">
        <v>7735.7</v>
      </c>
      <c r="Z23" s="41">
        <v>40551</v>
      </c>
      <c r="AA23" s="41">
        <v>70605</v>
      </c>
      <c r="AB23" s="41">
        <v>299324</v>
      </c>
      <c r="AC23" s="125">
        <v>0</v>
      </c>
    </row>
    <row r="24" spans="1:29" ht="15" customHeight="1" x14ac:dyDescent="0.2">
      <c r="A24" s="250" t="s">
        <v>30</v>
      </c>
      <c r="B24" s="10" t="s">
        <v>369</v>
      </c>
      <c r="C24" s="41">
        <v>125</v>
      </c>
      <c r="D24" s="41">
        <v>0</v>
      </c>
      <c r="E24" s="251">
        <v>1.0027688700889028</v>
      </c>
      <c r="F24" s="252">
        <v>125.3</v>
      </c>
      <c r="G24" s="41">
        <v>0</v>
      </c>
      <c r="H24" s="41">
        <v>739501</v>
      </c>
      <c r="I24" s="41">
        <v>63</v>
      </c>
      <c r="J24" s="252">
        <v>1882.0406309999998</v>
      </c>
      <c r="K24" s="252">
        <v>9753.5</v>
      </c>
      <c r="L24" s="252">
        <v>7449.8815000000004</v>
      </c>
      <c r="M24" s="252">
        <v>9331.9</v>
      </c>
      <c r="N24" s="125">
        <v>220814</v>
      </c>
      <c r="O24" s="41"/>
      <c r="P24" s="250" t="s">
        <v>30</v>
      </c>
      <c r="Q24" s="10" t="s">
        <v>369</v>
      </c>
      <c r="R24" s="41">
        <v>35</v>
      </c>
      <c r="S24" s="252">
        <v>154.19999999999999</v>
      </c>
      <c r="T24" s="41">
        <v>113031</v>
      </c>
      <c r="U24" s="41">
        <v>984.19354838709683</v>
      </c>
      <c r="V24" s="252">
        <v>1257.7</v>
      </c>
      <c r="W24" s="41">
        <v>11689</v>
      </c>
      <c r="X24" s="41">
        <v>4111.3024999999998</v>
      </c>
      <c r="Y24" s="252">
        <v>8193.2000000000007</v>
      </c>
      <c r="Z24" s="41">
        <v>42949</v>
      </c>
      <c r="AA24" s="41">
        <v>167669</v>
      </c>
      <c r="AB24" s="41">
        <v>1127984</v>
      </c>
      <c r="AC24" s="125">
        <v>69682</v>
      </c>
    </row>
    <row r="25" spans="1:29" ht="15" customHeight="1" x14ac:dyDescent="0.2">
      <c r="A25" s="250" t="s">
        <v>31</v>
      </c>
      <c r="B25" s="10" t="s">
        <v>368</v>
      </c>
      <c r="C25" s="41">
        <v>203</v>
      </c>
      <c r="D25" s="41">
        <v>0</v>
      </c>
      <c r="E25" s="251">
        <v>1.6749634112184935</v>
      </c>
      <c r="F25" s="252">
        <v>340</v>
      </c>
      <c r="G25" s="41">
        <v>80000</v>
      </c>
      <c r="H25" s="41">
        <v>2086627</v>
      </c>
      <c r="I25" s="41">
        <v>74</v>
      </c>
      <c r="J25" s="252">
        <v>4313.690188999999</v>
      </c>
      <c r="K25" s="252">
        <v>11139.5</v>
      </c>
      <c r="L25" s="252">
        <v>15351.134499999998</v>
      </c>
      <c r="M25" s="252">
        <v>19664.8</v>
      </c>
      <c r="N25" s="125">
        <v>465314</v>
      </c>
      <c r="O25" s="41"/>
      <c r="P25" s="250" t="s">
        <v>31</v>
      </c>
      <c r="Q25" s="10" t="s">
        <v>368</v>
      </c>
      <c r="R25" s="41">
        <v>42</v>
      </c>
      <c r="S25" s="252">
        <v>156.5</v>
      </c>
      <c r="T25" s="41">
        <v>114717</v>
      </c>
      <c r="U25" s="41">
        <v>1673</v>
      </c>
      <c r="V25" s="252">
        <v>1764.9</v>
      </c>
      <c r="W25" s="41">
        <v>16403</v>
      </c>
      <c r="X25" s="41">
        <v>3553.68</v>
      </c>
      <c r="Y25" s="252">
        <v>7851.6</v>
      </c>
      <c r="Z25" s="41">
        <v>41159</v>
      </c>
      <c r="AA25" s="41">
        <v>172279</v>
      </c>
      <c r="AB25" s="41">
        <v>2724220</v>
      </c>
      <c r="AC25" s="125">
        <v>217386</v>
      </c>
    </row>
    <row r="26" spans="1:29" ht="15" customHeight="1" x14ac:dyDescent="0.2">
      <c r="A26" s="250" t="s">
        <v>200</v>
      </c>
      <c r="B26" s="10" t="s">
        <v>367</v>
      </c>
      <c r="C26" s="41">
        <v>25</v>
      </c>
      <c r="D26" s="41">
        <v>0</v>
      </c>
      <c r="E26" s="251">
        <v>0.53900000000000048</v>
      </c>
      <c r="F26" s="252">
        <v>13.5</v>
      </c>
      <c r="G26" s="41">
        <v>0</v>
      </c>
      <c r="H26" s="41">
        <v>79675</v>
      </c>
      <c r="I26" s="41">
        <v>4</v>
      </c>
      <c r="J26" s="252">
        <v>33.496559000000005</v>
      </c>
      <c r="K26" s="252">
        <v>600</v>
      </c>
      <c r="L26" s="252">
        <v>226.79999999999995</v>
      </c>
      <c r="M26" s="252">
        <v>260.3</v>
      </c>
      <c r="N26" s="125">
        <v>6159</v>
      </c>
      <c r="O26" s="41"/>
      <c r="P26" s="250" t="s">
        <v>200</v>
      </c>
      <c r="Q26" s="10" t="s">
        <v>367</v>
      </c>
      <c r="R26" s="41">
        <v>8</v>
      </c>
      <c r="S26" s="252">
        <v>15.6</v>
      </c>
      <c r="T26" s="41">
        <v>11435</v>
      </c>
      <c r="U26" s="41">
        <v>112</v>
      </c>
      <c r="V26" s="252">
        <v>142.6</v>
      </c>
      <c r="W26" s="41">
        <v>1325</v>
      </c>
      <c r="X26" s="41">
        <v>0</v>
      </c>
      <c r="Y26" s="252">
        <v>0</v>
      </c>
      <c r="Z26" s="41">
        <v>0</v>
      </c>
      <c r="AA26" s="41">
        <v>12760</v>
      </c>
      <c r="AB26" s="41">
        <v>98594</v>
      </c>
      <c r="AC26" s="125">
        <v>4366</v>
      </c>
    </row>
    <row r="27" spans="1:29" ht="15" customHeight="1" x14ac:dyDescent="0.2">
      <c r="A27" s="250" t="s">
        <v>32</v>
      </c>
      <c r="B27" s="10" t="s">
        <v>366</v>
      </c>
      <c r="C27" s="41">
        <v>9976</v>
      </c>
      <c r="D27" s="41">
        <v>191</v>
      </c>
      <c r="E27" s="251">
        <v>1.0388655750218561</v>
      </c>
      <c r="F27" s="252">
        <v>10363.700000000001</v>
      </c>
      <c r="G27" s="41">
        <v>425000</v>
      </c>
      <c r="H27" s="41">
        <v>61589951</v>
      </c>
      <c r="I27" s="41">
        <v>3555</v>
      </c>
      <c r="J27" s="252">
        <v>174807.71980900003</v>
      </c>
      <c r="K27" s="252">
        <v>610931.89285718009</v>
      </c>
      <c r="L27" s="252">
        <v>559770.40462144895</v>
      </c>
      <c r="M27" s="252">
        <v>734578.1</v>
      </c>
      <c r="N27" s="125">
        <v>17381790</v>
      </c>
      <c r="O27" s="41"/>
      <c r="P27" s="250" t="s">
        <v>32</v>
      </c>
      <c r="Q27" s="10" t="s">
        <v>366</v>
      </c>
      <c r="R27" s="41">
        <v>3006</v>
      </c>
      <c r="S27" s="252">
        <v>9235.7999999999993</v>
      </c>
      <c r="T27" s="41">
        <v>6769966</v>
      </c>
      <c r="U27" s="41">
        <v>27317</v>
      </c>
      <c r="V27" s="252">
        <v>32858.699999999997</v>
      </c>
      <c r="W27" s="41">
        <v>305383</v>
      </c>
      <c r="X27" s="41">
        <v>54813.215737137922</v>
      </c>
      <c r="Y27" s="252">
        <v>118950.9</v>
      </c>
      <c r="Z27" s="41">
        <v>623549</v>
      </c>
      <c r="AA27" s="41">
        <v>7698898</v>
      </c>
      <c r="AB27" s="41">
        <v>86670639</v>
      </c>
      <c r="AC27" s="125">
        <v>0</v>
      </c>
    </row>
    <row r="28" spans="1:29" ht="15" customHeight="1" x14ac:dyDescent="0.2">
      <c r="A28" s="250" t="s">
        <v>33</v>
      </c>
      <c r="B28" s="10" t="s">
        <v>362</v>
      </c>
      <c r="C28" s="41">
        <v>64</v>
      </c>
      <c r="D28" s="41">
        <v>0</v>
      </c>
      <c r="E28" s="251">
        <v>1.5924203644456822</v>
      </c>
      <c r="F28" s="252">
        <v>101.9</v>
      </c>
      <c r="G28" s="41">
        <v>0</v>
      </c>
      <c r="H28" s="41">
        <v>601398</v>
      </c>
      <c r="I28" s="41">
        <v>36</v>
      </c>
      <c r="J28" s="252">
        <v>3348.54</v>
      </c>
      <c r="K28" s="252">
        <v>6599</v>
      </c>
      <c r="L28" s="252">
        <v>9245.52</v>
      </c>
      <c r="M28" s="252">
        <v>12594.1</v>
      </c>
      <c r="N28" s="125">
        <v>298005</v>
      </c>
      <c r="O28" s="41"/>
      <c r="P28" s="250" t="s">
        <v>33</v>
      </c>
      <c r="Q28" s="10" t="s">
        <v>362</v>
      </c>
      <c r="R28" s="41">
        <v>25</v>
      </c>
      <c r="S28" s="252">
        <v>93.4</v>
      </c>
      <c r="T28" s="41">
        <v>68463</v>
      </c>
      <c r="U28" s="41">
        <v>457</v>
      </c>
      <c r="V28" s="252">
        <v>584.29999999999995</v>
      </c>
      <c r="W28" s="41">
        <v>5430</v>
      </c>
      <c r="X28" s="41">
        <v>1449.5155709342559</v>
      </c>
      <c r="Y28" s="252">
        <v>2910.5</v>
      </c>
      <c r="Z28" s="41">
        <v>15257</v>
      </c>
      <c r="AA28" s="41">
        <v>89150</v>
      </c>
      <c r="AB28" s="41">
        <v>988553</v>
      </c>
      <c r="AC28" s="125">
        <v>23778</v>
      </c>
    </row>
    <row r="29" spans="1:29" ht="15" customHeight="1" x14ac:dyDescent="0.2">
      <c r="A29" s="250" t="s">
        <v>34</v>
      </c>
      <c r="B29" s="10" t="s">
        <v>365</v>
      </c>
      <c r="C29" s="41">
        <v>2090</v>
      </c>
      <c r="D29" s="41">
        <v>0</v>
      </c>
      <c r="E29" s="251">
        <v>0.82195354304156587</v>
      </c>
      <c r="F29" s="252">
        <v>1717.9</v>
      </c>
      <c r="G29" s="41">
        <v>0</v>
      </c>
      <c r="H29" s="41">
        <v>10138779</v>
      </c>
      <c r="I29" s="41">
        <v>779</v>
      </c>
      <c r="J29" s="252">
        <v>31939.191639000001</v>
      </c>
      <c r="K29" s="252">
        <v>132449</v>
      </c>
      <c r="L29" s="252">
        <v>93349.09</v>
      </c>
      <c r="M29" s="252">
        <v>125288.3</v>
      </c>
      <c r="N29" s="125">
        <v>2964606</v>
      </c>
      <c r="O29" s="41"/>
      <c r="P29" s="250" t="s">
        <v>34</v>
      </c>
      <c r="Q29" s="10" t="s">
        <v>365</v>
      </c>
      <c r="R29" s="41">
        <v>514</v>
      </c>
      <c r="S29" s="252">
        <v>1754.7</v>
      </c>
      <c r="T29" s="41">
        <v>1286219</v>
      </c>
      <c r="U29" s="41">
        <v>14035</v>
      </c>
      <c r="V29" s="252">
        <v>17876.599999999999</v>
      </c>
      <c r="W29" s="41">
        <v>166142</v>
      </c>
      <c r="X29" s="41">
        <v>20338.52377745981</v>
      </c>
      <c r="Y29" s="252">
        <v>37869.9</v>
      </c>
      <c r="Z29" s="41">
        <v>198517</v>
      </c>
      <c r="AA29" s="41">
        <v>1650878</v>
      </c>
      <c r="AB29" s="41">
        <v>14754263</v>
      </c>
      <c r="AC29" s="125">
        <v>1190790</v>
      </c>
    </row>
    <row r="30" spans="1:29" ht="15" customHeight="1" x14ac:dyDescent="0.2">
      <c r="A30" s="250" t="s">
        <v>35</v>
      </c>
      <c r="B30" s="10" t="s">
        <v>364</v>
      </c>
      <c r="C30" s="41">
        <v>1564</v>
      </c>
      <c r="D30" s="41">
        <v>0</v>
      </c>
      <c r="E30" s="251">
        <v>4.7251124161443894</v>
      </c>
      <c r="F30" s="252">
        <v>7390.1</v>
      </c>
      <c r="G30" s="41">
        <v>80000</v>
      </c>
      <c r="H30" s="41">
        <v>43695225</v>
      </c>
      <c r="I30" s="41">
        <v>370</v>
      </c>
      <c r="J30" s="252">
        <v>82861.721341000026</v>
      </c>
      <c r="K30" s="252">
        <v>71773.5</v>
      </c>
      <c r="L30" s="252">
        <v>255905.85900000017</v>
      </c>
      <c r="M30" s="252">
        <v>338767.6</v>
      </c>
      <c r="N30" s="125">
        <v>8016013</v>
      </c>
      <c r="O30" s="41"/>
      <c r="P30" s="250" t="s">
        <v>35</v>
      </c>
      <c r="Q30" s="10" t="s">
        <v>364</v>
      </c>
      <c r="R30" s="41">
        <v>122</v>
      </c>
      <c r="S30" s="252">
        <v>666</v>
      </c>
      <c r="T30" s="41">
        <v>488187</v>
      </c>
      <c r="U30" s="41">
        <v>9149</v>
      </c>
      <c r="V30" s="252">
        <v>10852.7</v>
      </c>
      <c r="W30" s="41">
        <v>100863</v>
      </c>
      <c r="X30" s="41">
        <v>27583.503837080832</v>
      </c>
      <c r="Y30" s="252">
        <v>60058.9</v>
      </c>
      <c r="Z30" s="41">
        <v>314833</v>
      </c>
      <c r="AA30" s="41">
        <v>903883</v>
      </c>
      <c r="AB30" s="41">
        <v>52615121</v>
      </c>
      <c r="AC30" s="125">
        <v>2247545</v>
      </c>
    </row>
    <row r="31" spans="1:29" ht="15" customHeight="1" x14ac:dyDescent="0.2">
      <c r="A31" s="250" t="s">
        <v>36</v>
      </c>
      <c r="B31" s="10" t="s">
        <v>363</v>
      </c>
      <c r="C31" s="41">
        <v>322</v>
      </c>
      <c r="D31" s="41">
        <v>0</v>
      </c>
      <c r="E31" s="251">
        <v>1.525299597971344</v>
      </c>
      <c r="F31" s="252">
        <v>491.1</v>
      </c>
      <c r="G31" s="41">
        <v>120000</v>
      </c>
      <c r="H31" s="41">
        <v>3018396</v>
      </c>
      <c r="I31" s="41">
        <v>108</v>
      </c>
      <c r="J31" s="252">
        <v>8042.0623369999994</v>
      </c>
      <c r="K31" s="252">
        <v>12040</v>
      </c>
      <c r="L31" s="252">
        <v>14107.419</v>
      </c>
      <c r="M31" s="252">
        <v>22149.5</v>
      </c>
      <c r="N31" s="125">
        <v>524108</v>
      </c>
      <c r="O31" s="41"/>
      <c r="P31" s="250" t="s">
        <v>36</v>
      </c>
      <c r="Q31" s="10" t="s">
        <v>363</v>
      </c>
      <c r="R31" s="41">
        <v>105</v>
      </c>
      <c r="S31" s="252">
        <v>334</v>
      </c>
      <c r="T31" s="41">
        <v>244827</v>
      </c>
      <c r="U31" s="41">
        <v>900</v>
      </c>
      <c r="V31" s="252">
        <v>1070.0999999999999</v>
      </c>
      <c r="W31" s="41">
        <v>9945</v>
      </c>
      <c r="X31" s="41">
        <v>1901.9354838709678</v>
      </c>
      <c r="Y31" s="252">
        <v>4080.7</v>
      </c>
      <c r="Z31" s="41">
        <v>21391</v>
      </c>
      <c r="AA31" s="41">
        <v>276163</v>
      </c>
      <c r="AB31" s="41">
        <v>3818667</v>
      </c>
      <c r="AC31" s="125">
        <v>281161</v>
      </c>
    </row>
    <row r="32" spans="1:29" ht="15" customHeight="1" x14ac:dyDescent="0.2">
      <c r="A32" s="250" t="s">
        <v>37</v>
      </c>
      <c r="B32" s="10" t="s">
        <v>360</v>
      </c>
      <c r="C32" s="41">
        <v>3461</v>
      </c>
      <c r="D32" s="41">
        <v>140</v>
      </c>
      <c r="E32" s="251">
        <v>1.057127426343125</v>
      </c>
      <c r="F32" s="252">
        <v>3658.7</v>
      </c>
      <c r="G32" s="41">
        <v>100000</v>
      </c>
      <c r="H32" s="41">
        <v>21693080</v>
      </c>
      <c r="I32" s="41">
        <v>1410</v>
      </c>
      <c r="J32" s="252">
        <v>70179.330533</v>
      </c>
      <c r="K32" s="252">
        <v>247531.10714287002</v>
      </c>
      <c r="L32" s="252">
        <v>234506.30037857848</v>
      </c>
      <c r="M32" s="252">
        <v>304685.59999999998</v>
      </c>
      <c r="N32" s="125">
        <v>7209555</v>
      </c>
      <c r="O32" s="41"/>
      <c r="P32" s="250" t="s">
        <v>37</v>
      </c>
      <c r="Q32" s="10" t="s">
        <v>360</v>
      </c>
      <c r="R32" s="41">
        <v>940</v>
      </c>
      <c r="S32" s="252">
        <v>3343.3</v>
      </c>
      <c r="T32" s="41">
        <v>2450684</v>
      </c>
      <c r="U32" s="41">
        <v>24928.004626569727</v>
      </c>
      <c r="V32" s="252">
        <v>31886.5</v>
      </c>
      <c r="W32" s="41">
        <v>296348</v>
      </c>
      <c r="X32" s="41">
        <v>77437.131947222384</v>
      </c>
      <c r="Y32" s="252">
        <v>186797.7</v>
      </c>
      <c r="Z32" s="41">
        <v>979206</v>
      </c>
      <c r="AA32" s="41">
        <v>3726238</v>
      </c>
      <c r="AB32" s="41">
        <v>32628873</v>
      </c>
      <c r="AC32" s="125">
        <v>1652191</v>
      </c>
    </row>
    <row r="33" spans="1:29" ht="15" customHeight="1" x14ac:dyDescent="0.2">
      <c r="A33" s="250" t="s">
        <v>38</v>
      </c>
      <c r="B33" s="10" t="s">
        <v>359</v>
      </c>
      <c r="C33" s="41">
        <v>501</v>
      </c>
      <c r="D33" s="41">
        <v>0</v>
      </c>
      <c r="E33" s="251">
        <v>1.3093749023928536</v>
      </c>
      <c r="F33" s="252">
        <v>656</v>
      </c>
      <c r="G33" s="41">
        <v>0</v>
      </c>
      <c r="H33" s="41">
        <v>3871610</v>
      </c>
      <c r="I33" s="41">
        <v>229</v>
      </c>
      <c r="J33" s="252">
        <v>9085.4522209999996</v>
      </c>
      <c r="K33" s="252">
        <v>46776.5</v>
      </c>
      <c r="L33" s="252">
        <v>46364.385500000004</v>
      </c>
      <c r="M33" s="252">
        <v>55449.8</v>
      </c>
      <c r="N33" s="125">
        <v>1312069</v>
      </c>
      <c r="O33" s="41"/>
      <c r="P33" s="250" t="s">
        <v>38</v>
      </c>
      <c r="Q33" s="10" t="s">
        <v>359</v>
      </c>
      <c r="R33" s="41">
        <v>186</v>
      </c>
      <c r="S33" s="252">
        <v>541</v>
      </c>
      <c r="T33" s="41">
        <v>396560</v>
      </c>
      <c r="U33" s="41">
        <v>3316.5894308943089</v>
      </c>
      <c r="V33" s="252">
        <v>4241.2</v>
      </c>
      <c r="W33" s="41">
        <v>39417</v>
      </c>
      <c r="X33" s="41">
        <v>16423.911663258143</v>
      </c>
      <c r="Y33" s="252">
        <v>33531.300000000003</v>
      </c>
      <c r="Z33" s="41">
        <v>175773</v>
      </c>
      <c r="AA33" s="41">
        <v>611750</v>
      </c>
      <c r="AB33" s="41">
        <v>5795429</v>
      </c>
      <c r="AC33" s="125">
        <v>410320</v>
      </c>
    </row>
    <row r="34" spans="1:29" ht="15" customHeight="1" x14ac:dyDescent="0.2">
      <c r="A34" s="250" t="s">
        <v>39</v>
      </c>
      <c r="B34" s="10" t="s">
        <v>358</v>
      </c>
      <c r="C34" s="41">
        <v>929</v>
      </c>
      <c r="D34" s="41">
        <v>0</v>
      </c>
      <c r="E34" s="251">
        <v>4.5162243273450953</v>
      </c>
      <c r="F34" s="252">
        <v>4195.6000000000004</v>
      </c>
      <c r="G34" s="41">
        <v>70000</v>
      </c>
      <c r="H34" s="41">
        <v>24831781</v>
      </c>
      <c r="I34" s="41">
        <v>233</v>
      </c>
      <c r="J34" s="252">
        <v>47319.491512000008</v>
      </c>
      <c r="K34" s="252">
        <v>40935</v>
      </c>
      <c r="L34" s="252">
        <v>127987.08799999996</v>
      </c>
      <c r="M34" s="252">
        <v>175306.6</v>
      </c>
      <c r="N34" s="125">
        <v>4148153</v>
      </c>
      <c r="O34" s="41"/>
      <c r="P34" s="250" t="s">
        <v>39</v>
      </c>
      <c r="Q34" s="10" t="s">
        <v>358</v>
      </c>
      <c r="R34" s="41">
        <v>110</v>
      </c>
      <c r="S34" s="252">
        <v>488.4</v>
      </c>
      <c r="T34" s="41">
        <v>358004</v>
      </c>
      <c r="U34" s="41">
        <v>5625</v>
      </c>
      <c r="V34" s="252">
        <v>7126</v>
      </c>
      <c r="W34" s="41">
        <v>66228</v>
      </c>
      <c r="X34" s="41">
        <v>9330.4163783160311</v>
      </c>
      <c r="Y34" s="252">
        <v>19407</v>
      </c>
      <c r="Z34" s="41">
        <v>101733</v>
      </c>
      <c r="AA34" s="41">
        <v>525965</v>
      </c>
      <c r="AB34" s="41">
        <v>29505899</v>
      </c>
      <c r="AC34" s="125">
        <v>1247566</v>
      </c>
    </row>
    <row r="35" spans="1:29" ht="15" customHeight="1" x14ac:dyDescent="0.2">
      <c r="A35" s="250" t="s">
        <v>40</v>
      </c>
      <c r="B35" s="10" t="s">
        <v>357</v>
      </c>
      <c r="C35" s="41">
        <v>44</v>
      </c>
      <c r="D35" s="41">
        <v>0</v>
      </c>
      <c r="E35" s="251">
        <v>1.2573112408177276</v>
      </c>
      <c r="F35" s="252">
        <v>55.3</v>
      </c>
      <c r="G35" s="41">
        <v>10000</v>
      </c>
      <c r="H35" s="41">
        <v>336372</v>
      </c>
      <c r="I35" s="41">
        <v>28</v>
      </c>
      <c r="J35" s="252">
        <v>1377.8627719999999</v>
      </c>
      <c r="K35" s="252">
        <v>5160</v>
      </c>
      <c r="L35" s="252">
        <v>5938.6670000000004</v>
      </c>
      <c r="M35" s="252">
        <v>6122.2</v>
      </c>
      <c r="N35" s="125">
        <v>144865</v>
      </c>
      <c r="O35" s="41"/>
      <c r="P35" s="250" t="s">
        <v>40</v>
      </c>
      <c r="Q35" s="10" t="s">
        <v>357</v>
      </c>
      <c r="R35" s="41">
        <v>10</v>
      </c>
      <c r="S35" s="252">
        <v>32.1</v>
      </c>
      <c r="T35" s="41">
        <v>23530</v>
      </c>
      <c r="U35" s="41">
        <v>602</v>
      </c>
      <c r="V35" s="252">
        <v>743.6</v>
      </c>
      <c r="W35" s="41">
        <v>6911</v>
      </c>
      <c r="X35" s="41">
        <v>1259</v>
      </c>
      <c r="Y35" s="252">
        <v>4757.3</v>
      </c>
      <c r="Z35" s="41">
        <v>24938</v>
      </c>
      <c r="AA35" s="41">
        <v>55379</v>
      </c>
      <c r="AB35" s="41">
        <v>536616</v>
      </c>
      <c r="AC35" s="125">
        <v>30815</v>
      </c>
    </row>
    <row r="36" spans="1:29" ht="15" customHeight="1" x14ac:dyDescent="0.2">
      <c r="A36" s="250" t="s">
        <v>41</v>
      </c>
      <c r="B36" s="10" t="s">
        <v>356</v>
      </c>
      <c r="C36" s="41">
        <v>1475</v>
      </c>
      <c r="D36" s="41">
        <v>70</v>
      </c>
      <c r="E36" s="251">
        <v>1.0293229030684732</v>
      </c>
      <c r="F36" s="252">
        <v>1518.3</v>
      </c>
      <c r="G36" s="41">
        <v>90000</v>
      </c>
      <c r="H36" s="41">
        <v>9050771</v>
      </c>
      <c r="I36" s="41">
        <v>1012</v>
      </c>
      <c r="J36" s="252">
        <v>36279.888101000004</v>
      </c>
      <c r="K36" s="252">
        <v>150903</v>
      </c>
      <c r="L36" s="252">
        <v>116022.29920000004</v>
      </c>
      <c r="M36" s="252">
        <v>152302.20000000001</v>
      </c>
      <c r="N36" s="125">
        <v>3603817</v>
      </c>
      <c r="O36" s="41"/>
      <c r="P36" s="250" t="s">
        <v>41</v>
      </c>
      <c r="Q36" s="10" t="s">
        <v>356</v>
      </c>
      <c r="R36" s="41">
        <v>695</v>
      </c>
      <c r="S36" s="252">
        <v>2422.6999999999998</v>
      </c>
      <c r="T36" s="41">
        <v>1775872</v>
      </c>
      <c r="U36" s="41">
        <v>7063</v>
      </c>
      <c r="V36" s="252">
        <v>8761.1</v>
      </c>
      <c r="W36" s="41">
        <v>81424</v>
      </c>
      <c r="X36" s="41">
        <v>17668.52899680701</v>
      </c>
      <c r="Y36" s="252">
        <v>34789.699999999997</v>
      </c>
      <c r="Z36" s="41">
        <v>182370</v>
      </c>
      <c r="AA36" s="41">
        <v>2039666</v>
      </c>
      <c r="AB36" s="41">
        <v>14694254</v>
      </c>
      <c r="AC36" s="125">
        <v>0</v>
      </c>
    </row>
    <row r="37" spans="1:29" ht="15" customHeight="1" x14ac:dyDescent="0.2">
      <c r="A37" s="250" t="s">
        <v>42</v>
      </c>
      <c r="B37" s="10" t="s">
        <v>355</v>
      </c>
      <c r="C37" s="41">
        <v>80</v>
      </c>
      <c r="D37" s="41">
        <v>0</v>
      </c>
      <c r="E37" s="251">
        <v>0.78925916616991454</v>
      </c>
      <c r="F37" s="252">
        <v>63.1</v>
      </c>
      <c r="G37" s="41">
        <v>10000</v>
      </c>
      <c r="H37" s="41">
        <v>382406</v>
      </c>
      <c r="I37" s="41">
        <v>50</v>
      </c>
      <c r="J37" s="252">
        <v>970.87028299999997</v>
      </c>
      <c r="K37" s="252">
        <v>8542.5</v>
      </c>
      <c r="L37" s="252">
        <v>4566.8204999999998</v>
      </c>
      <c r="M37" s="252">
        <v>5537.7</v>
      </c>
      <c r="N37" s="125">
        <v>131035</v>
      </c>
      <c r="O37" s="41"/>
      <c r="P37" s="250" t="s">
        <v>42</v>
      </c>
      <c r="Q37" s="10" t="s">
        <v>355</v>
      </c>
      <c r="R37" s="41">
        <v>30</v>
      </c>
      <c r="S37" s="252">
        <v>103.3</v>
      </c>
      <c r="T37" s="41">
        <v>75720</v>
      </c>
      <c r="U37" s="41">
        <v>852.6</v>
      </c>
      <c r="V37" s="252">
        <v>1089.4000000000001</v>
      </c>
      <c r="W37" s="41">
        <v>10125</v>
      </c>
      <c r="X37" s="41">
        <v>2563</v>
      </c>
      <c r="Y37" s="252">
        <v>9498.2000000000007</v>
      </c>
      <c r="Z37" s="41">
        <v>49790</v>
      </c>
      <c r="AA37" s="41">
        <v>135635</v>
      </c>
      <c r="AB37" s="41">
        <v>649076</v>
      </c>
      <c r="AC37" s="125">
        <v>21708</v>
      </c>
    </row>
    <row r="38" spans="1:29" ht="15" customHeight="1" x14ac:dyDescent="0.2">
      <c r="A38" s="250" t="s">
        <v>43</v>
      </c>
      <c r="B38" s="10" t="s">
        <v>352</v>
      </c>
      <c r="C38" s="41">
        <v>68</v>
      </c>
      <c r="D38" s="41">
        <v>0</v>
      </c>
      <c r="E38" s="251">
        <v>1.5900000000000012</v>
      </c>
      <c r="F38" s="252">
        <v>108.1</v>
      </c>
      <c r="G38" s="41">
        <v>0</v>
      </c>
      <c r="H38" s="41">
        <v>637989</v>
      </c>
      <c r="I38" s="41">
        <v>17</v>
      </c>
      <c r="J38" s="252">
        <v>1602.718218</v>
      </c>
      <c r="K38" s="252">
        <v>6080</v>
      </c>
      <c r="L38" s="252">
        <v>9179.4800000000014</v>
      </c>
      <c r="M38" s="252">
        <v>10782.2</v>
      </c>
      <c r="N38" s="125">
        <v>255131</v>
      </c>
      <c r="O38" s="41"/>
      <c r="P38" s="250" t="s">
        <v>43</v>
      </c>
      <c r="Q38" s="10" t="s">
        <v>352</v>
      </c>
      <c r="R38" s="41">
        <v>26</v>
      </c>
      <c r="S38" s="252">
        <v>95.7</v>
      </c>
      <c r="T38" s="41">
        <v>70149</v>
      </c>
      <c r="U38" s="41">
        <v>304</v>
      </c>
      <c r="V38" s="252">
        <v>385.4</v>
      </c>
      <c r="W38" s="41">
        <v>3582</v>
      </c>
      <c r="X38" s="41">
        <v>760</v>
      </c>
      <c r="Y38" s="252">
        <v>2920.3</v>
      </c>
      <c r="Z38" s="41">
        <v>15308</v>
      </c>
      <c r="AA38" s="41">
        <v>89039</v>
      </c>
      <c r="AB38" s="41">
        <v>982159</v>
      </c>
      <c r="AC38" s="125">
        <v>0</v>
      </c>
    </row>
    <row r="39" spans="1:29" ht="15" customHeight="1" x14ac:dyDescent="0.2">
      <c r="A39" s="250" t="s">
        <v>44</v>
      </c>
      <c r="B39" s="10" t="s">
        <v>351</v>
      </c>
      <c r="C39" s="41">
        <v>3008</v>
      </c>
      <c r="D39" s="41">
        <v>40</v>
      </c>
      <c r="E39" s="251">
        <v>1.1179393500928472</v>
      </c>
      <c r="F39" s="252">
        <v>3362.8</v>
      </c>
      <c r="G39" s="41">
        <v>0</v>
      </c>
      <c r="H39" s="41">
        <v>19846724</v>
      </c>
      <c r="I39" s="41">
        <v>1174</v>
      </c>
      <c r="J39" s="252">
        <v>61073.803419999975</v>
      </c>
      <c r="K39" s="252">
        <v>188944.5</v>
      </c>
      <c r="L39" s="252">
        <v>191301.58049999995</v>
      </c>
      <c r="M39" s="252">
        <v>252375.4</v>
      </c>
      <c r="N39" s="125">
        <v>5971777</v>
      </c>
      <c r="O39" s="41"/>
      <c r="P39" s="250" t="s">
        <v>44</v>
      </c>
      <c r="Q39" s="10" t="s">
        <v>351</v>
      </c>
      <c r="R39" s="41">
        <v>863</v>
      </c>
      <c r="S39" s="252">
        <v>3221.5</v>
      </c>
      <c r="T39" s="41">
        <v>2361403</v>
      </c>
      <c r="U39" s="41">
        <v>14812</v>
      </c>
      <c r="V39" s="252">
        <v>18953.7</v>
      </c>
      <c r="W39" s="41">
        <v>176152</v>
      </c>
      <c r="X39" s="41">
        <v>39808.680611703312</v>
      </c>
      <c r="Y39" s="252">
        <v>80973</v>
      </c>
      <c r="Z39" s="41">
        <v>424466</v>
      </c>
      <c r="AA39" s="41">
        <v>2962021</v>
      </c>
      <c r="AB39" s="41">
        <v>28780522</v>
      </c>
      <c r="AC39" s="125">
        <v>0</v>
      </c>
    </row>
    <row r="40" spans="1:29" ht="15" customHeight="1" x14ac:dyDescent="0.2">
      <c r="A40" s="250" t="s">
        <v>45</v>
      </c>
      <c r="B40" s="10" t="s">
        <v>350</v>
      </c>
      <c r="C40" s="41">
        <v>143</v>
      </c>
      <c r="D40" s="41">
        <v>0</v>
      </c>
      <c r="E40" s="251">
        <v>0.58446502828908209</v>
      </c>
      <c r="F40" s="252">
        <v>83.6</v>
      </c>
      <c r="G40" s="41">
        <v>0</v>
      </c>
      <c r="H40" s="41">
        <v>493394</v>
      </c>
      <c r="I40" s="41">
        <v>224</v>
      </c>
      <c r="J40" s="252">
        <v>2797.1671580000002</v>
      </c>
      <c r="K40" s="252">
        <v>18360</v>
      </c>
      <c r="L40" s="252">
        <v>15173.675999999999</v>
      </c>
      <c r="M40" s="252">
        <v>10324.6</v>
      </c>
      <c r="N40" s="125">
        <v>244304</v>
      </c>
      <c r="O40" s="41"/>
      <c r="P40" s="250" t="s">
        <v>45</v>
      </c>
      <c r="Q40" s="10" t="s">
        <v>350</v>
      </c>
      <c r="R40" s="41">
        <v>138</v>
      </c>
      <c r="S40" s="252">
        <v>274.3</v>
      </c>
      <c r="T40" s="41">
        <v>201066</v>
      </c>
      <c r="U40" s="41">
        <v>2100</v>
      </c>
      <c r="V40" s="252">
        <v>2672.5</v>
      </c>
      <c r="W40" s="41">
        <v>24838</v>
      </c>
      <c r="X40" s="41">
        <v>582</v>
      </c>
      <c r="Y40" s="252">
        <v>2209.6999999999998</v>
      </c>
      <c r="Z40" s="41">
        <v>11583</v>
      </c>
      <c r="AA40" s="41">
        <v>237487</v>
      </c>
      <c r="AB40" s="41">
        <v>975185</v>
      </c>
      <c r="AC40" s="125">
        <v>39291</v>
      </c>
    </row>
    <row r="41" spans="1:29" ht="15" customHeight="1" x14ac:dyDescent="0.2">
      <c r="A41" s="250" t="s">
        <v>46</v>
      </c>
      <c r="B41" s="10" t="s">
        <v>349</v>
      </c>
      <c r="C41" s="41">
        <v>6791</v>
      </c>
      <c r="D41" s="41">
        <v>270</v>
      </c>
      <c r="E41" s="251">
        <v>1.059800400335791</v>
      </c>
      <c r="F41" s="252">
        <v>7197.1</v>
      </c>
      <c r="G41" s="41">
        <v>155000</v>
      </c>
      <c r="H41" s="41">
        <v>42631168</v>
      </c>
      <c r="I41" s="41">
        <v>3433</v>
      </c>
      <c r="J41" s="252">
        <v>151921.72024699993</v>
      </c>
      <c r="K41" s="252">
        <v>523370.00000001001</v>
      </c>
      <c r="L41" s="252">
        <v>481187.83940000518</v>
      </c>
      <c r="M41" s="252">
        <v>633109.6</v>
      </c>
      <c r="N41" s="125">
        <v>14980815</v>
      </c>
      <c r="O41" s="41"/>
      <c r="P41" s="250" t="s">
        <v>46</v>
      </c>
      <c r="Q41" s="10" t="s">
        <v>349</v>
      </c>
      <c r="R41" s="41">
        <v>2419</v>
      </c>
      <c r="S41" s="252">
        <v>8638.2999999999993</v>
      </c>
      <c r="T41" s="41">
        <v>6331991</v>
      </c>
      <c r="U41" s="41">
        <v>39200</v>
      </c>
      <c r="V41" s="252">
        <v>49794.5</v>
      </c>
      <c r="W41" s="41">
        <v>462781</v>
      </c>
      <c r="X41" s="41">
        <v>124840.05630432424</v>
      </c>
      <c r="Y41" s="252">
        <v>257103</v>
      </c>
      <c r="Z41" s="41">
        <v>1347751</v>
      </c>
      <c r="AA41" s="41">
        <v>8142523</v>
      </c>
      <c r="AB41" s="41">
        <v>65754506</v>
      </c>
      <c r="AC41" s="125">
        <v>0</v>
      </c>
    </row>
    <row r="42" spans="1:29" ht="15" customHeight="1" x14ac:dyDescent="0.2">
      <c r="A42" s="250" t="s">
        <v>47</v>
      </c>
      <c r="B42" s="10" t="s">
        <v>354</v>
      </c>
      <c r="C42" s="41">
        <v>180</v>
      </c>
      <c r="D42" s="41">
        <v>0</v>
      </c>
      <c r="E42" s="251">
        <v>1.0026861034897816</v>
      </c>
      <c r="F42" s="252">
        <v>180.5</v>
      </c>
      <c r="G42" s="41">
        <v>20000</v>
      </c>
      <c r="H42" s="41">
        <v>1085283</v>
      </c>
      <c r="I42" s="41">
        <v>120</v>
      </c>
      <c r="J42" s="252">
        <v>3874.4917089999999</v>
      </c>
      <c r="K42" s="252">
        <v>16222</v>
      </c>
      <c r="L42" s="252">
        <v>13001.453500000001</v>
      </c>
      <c r="M42" s="252">
        <v>16875.900000000001</v>
      </c>
      <c r="N42" s="125">
        <v>399322</v>
      </c>
      <c r="O42" s="41"/>
      <c r="P42" s="250" t="s">
        <v>47</v>
      </c>
      <c r="Q42" s="10" t="s">
        <v>354</v>
      </c>
      <c r="R42" s="41">
        <v>62</v>
      </c>
      <c r="S42" s="252">
        <v>238.8</v>
      </c>
      <c r="T42" s="41">
        <v>175044</v>
      </c>
      <c r="U42" s="41">
        <v>1801</v>
      </c>
      <c r="V42" s="252">
        <v>2306.8000000000002</v>
      </c>
      <c r="W42" s="41">
        <v>21439</v>
      </c>
      <c r="X42" s="41">
        <v>1824</v>
      </c>
      <c r="Y42" s="252">
        <v>6760.4</v>
      </c>
      <c r="Z42" s="41">
        <v>35438</v>
      </c>
      <c r="AA42" s="41">
        <v>231921</v>
      </c>
      <c r="AB42" s="41">
        <v>1716526</v>
      </c>
      <c r="AC42" s="125">
        <v>8663</v>
      </c>
    </row>
    <row r="43" spans="1:29" ht="15" customHeight="1" x14ac:dyDescent="0.2">
      <c r="A43" s="250" t="s">
        <v>48</v>
      </c>
      <c r="B43" s="10" t="s">
        <v>353</v>
      </c>
      <c r="C43" s="41">
        <v>125</v>
      </c>
      <c r="D43" s="41">
        <v>0</v>
      </c>
      <c r="E43" s="251">
        <v>1.065797951717844</v>
      </c>
      <c r="F43" s="252">
        <v>133.19999999999999</v>
      </c>
      <c r="G43" s="41">
        <v>10000</v>
      </c>
      <c r="H43" s="41">
        <v>796126</v>
      </c>
      <c r="I43" s="41">
        <v>49</v>
      </c>
      <c r="J43" s="252">
        <v>3662.7660000000001</v>
      </c>
      <c r="K43" s="252">
        <v>10395</v>
      </c>
      <c r="L43" s="252">
        <v>10530.98</v>
      </c>
      <c r="M43" s="252">
        <v>14193.7</v>
      </c>
      <c r="N43" s="125">
        <v>335855</v>
      </c>
      <c r="O43" s="41"/>
      <c r="P43" s="250" t="s">
        <v>48</v>
      </c>
      <c r="Q43" s="10" t="s">
        <v>353</v>
      </c>
      <c r="R43" s="41">
        <v>30</v>
      </c>
      <c r="S43" s="252">
        <v>149.30000000000001</v>
      </c>
      <c r="T43" s="41">
        <v>109439</v>
      </c>
      <c r="U43" s="41">
        <v>1050</v>
      </c>
      <c r="V43" s="252">
        <v>1298.2</v>
      </c>
      <c r="W43" s="41">
        <v>12065</v>
      </c>
      <c r="X43" s="41">
        <v>4311.6345270890715</v>
      </c>
      <c r="Y43" s="252">
        <v>7595.4</v>
      </c>
      <c r="Z43" s="41">
        <v>39816</v>
      </c>
      <c r="AA43" s="41">
        <v>161320</v>
      </c>
      <c r="AB43" s="41">
        <v>1293301</v>
      </c>
      <c r="AC43" s="125">
        <v>69443</v>
      </c>
    </row>
    <row r="44" spans="1:29" ht="15" customHeight="1" x14ac:dyDescent="0.2">
      <c r="A44" s="250" t="s">
        <v>49</v>
      </c>
      <c r="B44" s="10" t="s">
        <v>348</v>
      </c>
      <c r="C44" s="41">
        <v>555</v>
      </c>
      <c r="D44" s="41">
        <v>10</v>
      </c>
      <c r="E44" s="251">
        <v>1.0798512438936791</v>
      </c>
      <c r="F44" s="252">
        <v>599.29999999999995</v>
      </c>
      <c r="G44" s="41">
        <v>0</v>
      </c>
      <c r="H44" s="41">
        <v>3536976</v>
      </c>
      <c r="I44" s="41">
        <v>267</v>
      </c>
      <c r="J44" s="252">
        <v>12284.466495000002</v>
      </c>
      <c r="K44" s="252">
        <v>54983</v>
      </c>
      <c r="L44" s="252">
        <v>50226.99950000002</v>
      </c>
      <c r="M44" s="252">
        <v>62511.5</v>
      </c>
      <c r="N44" s="125">
        <v>1479164</v>
      </c>
      <c r="O44" s="41"/>
      <c r="P44" s="250" t="s">
        <v>49</v>
      </c>
      <c r="Q44" s="10" t="s">
        <v>348</v>
      </c>
      <c r="R44" s="41">
        <v>240</v>
      </c>
      <c r="S44" s="252">
        <v>757.2</v>
      </c>
      <c r="T44" s="41">
        <v>555038</v>
      </c>
      <c r="U44" s="41">
        <v>2693.181818181818</v>
      </c>
      <c r="V44" s="252">
        <v>3016.4</v>
      </c>
      <c r="W44" s="41">
        <v>28034</v>
      </c>
      <c r="X44" s="41">
        <v>12973.907692307692</v>
      </c>
      <c r="Y44" s="252">
        <v>41927.300000000003</v>
      </c>
      <c r="Z44" s="41">
        <v>219786</v>
      </c>
      <c r="AA44" s="41">
        <v>802858</v>
      </c>
      <c r="AB44" s="41">
        <v>5818998</v>
      </c>
      <c r="AC44" s="125">
        <v>0</v>
      </c>
    </row>
    <row r="45" spans="1:29" ht="15" customHeight="1" x14ac:dyDescent="0.2">
      <c r="A45" s="250" t="s">
        <v>50</v>
      </c>
      <c r="B45" s="10" t="s">
        <v>347</v>
      </c>
      <c r="C45" s="41">
        <v>2824</v>
      </c>
      <c r="D45" s="41">
        <v>130</v>
      </c>
      <c r="E45" s="251">
        <v>1.0916580592127121</v>
      </c>
      <c r="F45" s="252">
        <v>3082.8</v>
      </c>
      <c r="G45" s="41">
        <v>0</v>
      </c>
      <c r="H45" s="41">
        <v>18194208</v>
      </c>
      <c r="I45" s="41">
        <v>1362</v>
      </c>
      <c r="J45" s="252">
        <v>66816.643771999996</v>
      </c>
      <c r="K45" s="252">
        <v>190760.64285715</v>
      </c>
      <c r="L45" s="252">
        <v>184623.15517143242</v>
      </c>
      <c r="M45" s="252">
        <v>251439.8</v>
      </c>
      <c r="N45" s="125">
        <v>5949638</v>
      </c>
      <c r="O45" s="41"/>
      <c r="P45" s="250" t="s">
        <v>50</v>
      </c>
      <c r="Q45" s="10" t="s">
        <v>347</v>
      </c>
      <c r="R45" s="41">
        <v>922</v>
      </c>
      <c r="S45" s="252">
        <v>3425.3</v>
      </c>
      <c r="T45" s="41">
        <v>2510791</v>
      </c>
      <c r="U45" s="41">
        <v>18728</v>
      </c>
      <c r="V45" s="252">
        <v>23991.5</v>
      </c>
      <c r="W45" s="41">
        <v>222973</v>
      </c>
      <c r="X45" s="41">
        <v>66244.480158459119</v>
      </c>
      <c r="Y45" s="252">
        <v>136394.79999999999</v>
      </c>
      <c r="Z45" s="41">
        <v>714991</v>
      </c>
      <c r="AA45" s="41">
        <v>3448755</v>
      </c>
      <c r="AB45" s="41">
        <v>27592601</v>
      </c>
      <c r="AC45" s="125">
        <v>0</v>
      </c>
    </row>
    <row r="46" spans="1:29" ht="15" customHeight="1" x14ac:dyDescent="0.2">
      <c r="A46" s="250" t="s">
        <v>201</v>
      </c>
      <c r="B46" s="10" t="s">
        <v>346</v>
      </c>
      <c r="C46" s="41">
        <v>98</v>
      </c>
      <c r="D46" s="41">
        <v>0</v>
      </c>
      <c r="E46" s="251">
        <v>1.0342839278220728</v>
      </c>
      <c r="F46" s="252">
        <v>101.4</v>
      </c>
      <c r="G46" s="41">
        <v>0</v>
      </c>
      <c r="H46" s="41">
        <v>598447</v>
      </c>
      <c r="I46" s="41">
        <v>48</v>
      </c>
      <c r="J46" s="252">
        <v>1253.1084230000001</v>
      </c>
      <c r="K46" s="252">
        <v>7230.5</v>
      </c>
      <c r="L46" s="252">
        <v>5608.6054999999997</v>
      </c>
      <c r="M46" s="252">
        <v>6861.7</v>
      </c>
      <c r="N46" s="125">
        <v>162363</v>
      </c>
      <c r="O46" s="41"/>
      <c r="P46" s="250" t="s">
        <v>201</v>
      </c>
      <c r="Q46" s="10" t="s">
        <v>346</v>
      </c>
      <c r="R46" s="41">
        <v>33</v>
      </c>
      <c r="S46" s="252">
        <v>100.4</v>
      </c>
      <c r="T46" s="41">
        <v>73595</v>
      </c>
      <c r="U46" s="41">
        <v>1167</v>
      </c>
      <c r="V46" s="252">
        <v>1390.1</v>
      </c>
      <c r="W46" s="41">
        <v>12919</v>
      </c>
      <c r="X46" s="41">
        <v>3394.1946582163873</v>
      </c>
      <c r="Y46" s="252">
        <v>8173.8</v>
      </c>
      <c r="Z46" s="41">
        <v>42848</v>
      </c>
      <c r="AA46" s="41">
        <v>129362</v>
      </c>
      <c r="AB46" s="41">
        <v>890172</v>
      </c>
      <c r="AC46" s="125">
        <v>27175</v>
      </c>
    </row>
    <row r="47" spans="1:29" ht="15" customHeight="1" x14ac:dyDescent="0.2">
      <c r="A47" s="250" t="s">
        <v>51</v>
      </c>
      <c r="B47" s="10" t="s">
        <v>345</v>
      </c>
      <c r="C47" s="41">
        <v>90</v>
      </c>
      <c r="D47" s="41">
        <v>0</v>
      </c>
      <c r="E47" s="251">
        <v>1.186857486587652</v>
      </c>
      <c r="F47" s="252">
        <v>106.8</v>
      </c>
      <c r="G47" s="41">
        <v>10000</v>
      </c>
      <c r="H47" s="41">
        <v>640317</v>
      </c>
      <c r="I47" s="41">
        <v>46</v>
      </c>
      <c r="J47" s="252">
        <v>2194.857047</v>
      </c>
      <c r="K47" s="252">
        <v>7277</v>
      </c>
      <c r="L47" s="252">
        <v>7059.2140000000009</v>
      </c>
      <c r="M47" s="252">
        <v>9254.1</v>
      </c>
      <c r="N47" s="125">
        <v>218973</v>
      </c>
      <c r="O47" s="41"/>
      <c r="P47" s="250" t="s">
        <v>51</v>
      </c>
      <c r="Q47" s="10" t="s">
        <v>345</v>
      </c>
      <c r="R47" s="41">
        <v>30</v>
      </c>
      <c r="S47" s="252">
        <v>111</v>
      </c>
      <c r="T47" s="41">
        <v>81365</v>
      </c>
      <c r="U47" s="41">
        <v>727</v>
      </c>
      <c r="V47" s="252">
        <v>930.7</v>
      </c>
      <c r="W47" s="41">
        <v>8650</v>
      </c>
      <c r="X47" s="41">
        <v>1018.3611111111111</v>
      </c>
      <c r="Y47" s="252">
        <v>2018.1</v>
      </c>
      <c r="Z47" s="41">
        <v>10579</v>
      </c>
      <c r="AA47" s="41">
        <v>100594</v>
      </c>
      <c r="AB47" s="41">
        <v>959884</v>
      </c>
      <c r="AC47" s="125">
        <v>42225</v>
      </c>
    </row>
    <row r="48" spans="1:29" ht="15" customHeight="1" x14ac:dyDescent="0.2">
      <c r="A48" s="250" t="s">
        <v>52</v>
      </c>
      <c r="B48" s="10" t="s">
        <v>344</v>
      </c>
      <c r="C48" s="41">
        <v>63</v>
      </c>
      <c r="D48" s="41">
        <v>0</v>
      </c>
      <c r="E48" s="251">
        <v>0.92200164511782856</v>
      </c>
      <c r="F48" s="252">
        <v>58.1</v>
      </c>
      <c r="G48" s="41">
        <v>0</v>
      </c>
      <c r="H48" s="41">
        <v>342897</v>
      </c>
      <c r="I48" s="41">
        <v>17</v>
      </c>
      <c r="J48" s="252">
        <v>239.11142699999999</v>
      </c>
      <c r="K48" s="252">
        <v>2790</v>
      </c>
      <c r="L48" s="252">
        <v>1853.1180000000002</v>
      </c>
      <c r="M48" s="252">
        <v>2092.1999999999998</v>
      </c>
      <c r="N48" s="125">
        <v>49506</v>
      </c>
      <c r="O48" s="41"/>
      <c r="P48" s="250" t="s">
        <v>52</v>
      </c>
      <c r="Q48" s="10" t="s">
        <v>344</v>
      </c>
      <c r="R48" s="41">
        <v>8</v>
      </c>
      <c r="S48" s="252">
        <v>35</v>
      </c>
      <c r="T48" s="41">
        <v>25655</v>
      </c>
      <c r="U48" s="41">
        <v>289</v>
      </c>
      <c r="V48" s="252">
        <v>346.8</v>
      </c>
      <c r="W48" s="41">
        <v>3223</v>
      </c>
      <c r="X48" s="41">
        <v>1329.5816326530612</v>
      </c>
      <c r="Y48" s="252">
        <v>2461.1999999999998</v>
      </c>
      <c r="Z48" s="41">
        <v>12902</v>
      </c>
      <c r="AA48" s="41">
        <v>41780</v>
      </c>
      <c r="AB48" s="41">
        <v>434183</v>
      </c>
      <c r="AC48" s="125">
        <v>0</v>
      </c>
    </row>
    <row r="49" spans="1:29" ht="15" customHeight="1" x14ac:dyDescent="0.2">
      <c r="A49" s="250" t="s">
        <v>53</v>
      </c>
      <c r="B49" s="10" t="s">
        <v>343</v>
      </c>
      <c r="C49" s="41">
        <v>23</v>
      </c>
      <c r="D49" s="41">
        <v>0</v>
      </c>
      <c r="E49" s="251">
        <v>0.81720524376938497</v>
      </c>
      <c r="F49" s="252">
        <v>18.8</v>
      </c>
      <c r="G49" s="41">
        <v>0</v>
      </c>
      <c r="H49" s="41">
        <v>110955</v>
      </c>
      <c r="I49" s="41">
        <v>13</v>
      </c>
      <c r="J49" s="252">
        <v>151.90242000000001</v>
      </c>
      <c r="K49" s="252">
        <v>1950</v>
      </c>
      <c r="L49" s="252">
        <v>1042.47</v>
      </c>
      <c r="M49" s="252">
        <v>1194.4000000000001</v>
      </c>
      <c r="N49" s="125">
        <v>28262</v>
      </c>
      <c r="O49" s="41"/>
      <c r="P49" s="250" t="s">
        <v>53</v>
      </c>
      <c r="Q49" s="10" t="s">
        <v>343</v>
      </c>
      <c r="R49" s="41">
        <v>8</v>
      </c>
      <c r="S49" s="252">
        <v>31.9</v>
      </c>
      <c r="T49" s="41">
        <v>23383</v>
      </c>
      <c r="U49" s="41">
        <v>256</v>
      </c>
      <c r="V49" s="252">
        <v>256</v>
      </c>
      <c r="W49" s="41">
        <v>2379</v>
      </c>
      <c r="X49" s="41">
        <v>850.82352941176464</v>
      </c>
      <c r="Y49" s="252">
        <v>3031.1</v>
      </c>
      <c r="Z49" s="41">
        <v>15889</v>
      </c>
      <c r="AA49" s="41">
        <v>41651</v>
      </c>
      <c r="AB49" s="41">
        <v>180868</v>
      </c>
      <c r="AC49" s="125">
        <v>0</v>
      </c>
    </row>
    <row r="50" spans="1:29" ht="15" customHeight="1" x14ac:dyDescent="0.2">
      <c r="A50" s="250" t="s">
        <v>54</v>
      </c>
      <c r="B50" s="10" t="s">
        <v>342</v>
      </c>
      <c r="C50" s="41">
        <v>789</v>
      </c>
      <c r="D50" s="41">
        <v>0</v>
      </c>
      <c r="E50" s="251">
        <v>0.73244446377111383</v>
      </c>
      <c r="F50" s="252">
        <v>577.9</v>
      </c>
      <c r="G50" s="41">
        <v>0</v>
      </c>
      <c r="H50" s="41">
        <v>3410676</v>
      </c>
      <c r="I50" s="41">
        <v>224</v>
      </c>
      <c r="J50" s="252">
        <v>11006.135781000001</v>
      </c>
      <c r="K50" s="252">
        <v>45534</v>
      </c>
      <c r="L50" s="252">
        <v>33135.46</v>
      </c>
      <c r="M50" s="252">
        <v>44141.599999999999</v>
      </c>
      <c r="N50" s="125">
        <v>1044491</v>
      </c>
      <c r="O50" s="41"/>
      <c r="P50" s="250" t="s">
        <v>54</v>
      </c>
      <c r="Q50" s="10" t="s">
        <v>342</v>
      </c>
      <c r="R50" s="41">
        <v>218</v>
      </c>
      <c r="S50" s="252">
        <v>787.6</v>
      </c>
      <c r="T50" s="41">
        <v>577321</v>
      </c>
      <c r="U50" s="41">
        <v>6954</v>
      </c>
      <c r="V50" s="252">
        <v>8324.5</v>
      </c>
      <c r="W50" s="41">
        <v>77366</v>
      </c>
      <c r="X50" s="41">
        <v>13699</v>
      </c>
      <c r="Y50" s="252">
        <v>51291.6</v>
      </c>
      <c r="Z50" s="41">
        <v>268874</v>
      </c>
      <c r="AA50" s="41">
        <v>923561</v>
      </c>
      <c r="AB50" s="41">
        <v>5378728</v>
      </c>
      <c r="AC50" s="125">
        <v>414461</v>
      </c>
    </row>
    <row r="51" spans="1:29" ht="15" customHeight="1" x14ac:dyDescent="0.2">
      <c r="A51" s="250" t="s">
        <v>55</v>
      </c>
      <c r="B51" s="10" t="s">
        <v>341</v>
      </c>
      <c r="C51" s="41">
        <v>69</v>
      </c>
      <c r="D51" s="41">
        <v>0</v>
      </c>
      <c r="E51" s="251">
        <v>1.0404015191013496</v>
      </c>
      <c r="F51" s="252">
        <v>71.8</v>
      </c>
      <c r="G51" s="41">
        <v>0</v>
      </c>
      <c r="H51" s="41">
        <v>423752</v>
      </c>
      <c r="I51" s="41">
        <v>44</v>
      </c>
      <c r="J51" s="252">
        <v>1326.182147</v>
      </c>
      <c r="K51" s="252">
        <v>7545</v>
      </c>
      <c r="L51" s="252">
        <v>6078.9549999999999</v>
      </c>
      <c r="M51" s="252">
        <v>7405.1</v>
      </c>
      <c r="N51" s="125">
        <v>175222</v>
      </c>
      <c r="O51" s="41"/>
      <c r="P51" s="250" t="s">
        <v>55</v>
      </c>
      <c r="Q51" s="10" t="s">
        <v>341</v>
      </c>
      <c r="R51" s="41">
        <v>25</v>
      </c>
      <c r="S51" s="252">
        <v>87.9</v>
      </c>
      <c r="T51" s="41">
        <v>64432</v>
      </c>
      <c r="U51" s="41">
        <v>317</v>
      </c>
      <c r="V51" s="252">
        <v>405.9</v>
      </c>
      <c r="W51" s="41">
        <v>3772</v>
      </c>
      <c r="X51" s="41">
        <v>833</v>
      </c>
      <c r="Y51" s="252">
        <v>3149.3</v>
      </c>
      <c r="Z51" s="41">
        <v>16509</v>
      </c>
      <c r="AA51" s="41">
        <v>84713</v>
      </c>
      <c r="AB51" s="41">
        <v>683687</v>
      </c>
      <c r="AC51" s="125">
        <v>33708</v>
      </c>
    </row>
    <row r="52" spans="1:29" ht="15" customHeight="1" x14ac:dyDescent="0.2">
      <c r="A52" s="250" t="s">
        <v>56</v>
      </c>
      <c r="B52" s="10" t="s">
        <v>340</v>
      </c>
      <c r="C52" s="41">
        <v>83</v>
      </c>
      <c r="D52" s="41">
        <v>0</v>
      </c>
      <c r="E52" s="251">
        <v>1.0001624451346673</v>
      </c>
      <c r="F52" s="252">
        <v>83</v>
      </c>
      <c r="G52" s="41">
        <v>200000</v>
      </c>
      <c r="H52" s="41">
        <v>689853</v>
      </c>
      <c r="I52" s="41">
        <v>24</v>
      </c>
      <c r="J52" s="252">
        <v>1176.119136</v>
      </c>
      <c r="K52" s="252">
        <v>3900</v>
      </c>
      <c r="L52" s="252">
        <v>3732.6</v>
      </c>
      <c r="M52" s="252">
        <v>4908.7</v>
      </c>
      <c r="N52" s="125">
        <v>116151</v>
      </c>
      <c r="O52" s="41"/>
      <c r="P52" s="250" t="s">
        <v>56</v>
      </c>
      <c r="Q52" s="10" t="s">
        <v>340</v>
      </c>
      <c r="R52" s="41">
        <v>15</v>
      </c>
      <c r="S52" s="252">
        <v>45.3</v>
      </c>
      <c r="T52" s="41">
        <v>33206</v>
      </c>
      <c r="U52" s="41">
        <v>422</v>
      </c>
      <c r="V52" s="252">
        <v>486.9</v>
      </c>
      <c r="W52" s="41">
        <v>4525</v>
      </c>
      <c r="X52" s="41">
        <v>0</v>
      </c>
      <c r="Y52" s="252">
        <v>0</v>
      </c>
      <c r="Z52" s="41">
        <v>0</v>
      </c>
      <c r="AA52" s="41">
        <v>37731</v>
      </c>
      <c r="AB52" s="41">
        <v>843735</v>
      </c>
      <c r="AC52" s="125">
        <v>37375</v>
      </c>
    </row>
    <row r="53" spans="1:29" ht="15" customHeight="1" x14ac:dyDescent="0.2">
      <c r="A53" s="250" t="s">
        <v>57</v>
      </c>
      <c r="B53" s="10" t="s">
        <v>339</v>
      </c>
      <c r="C53" s="41">
        <v>2640</v>
      </c>
      <c r="D53" s="41">
        <v>110</v>
      </c>
      <c r="E53" s="251">
        <v>1.0488158990349257</v>
      </c>
      <c r="F53" s="252">
        <v>2768.9</v>
      </c>
      <c r="G53" s="41">
        <v>90000</v>
      </c>
      <c r="H53" s="41">
        <v>16431619</v>
      </c>
      <c r="I53" s="41">
        <v>1042</v>
      </c>
      <c r="J53" s="252">
        <v>47272.190477000055</v>
      </c>
      <c r="K53" s="252">
        <v>174961.57142852998</v>
      </c>
      <c r="L53" s="252">
        <v>155788.20928569211</v>
      </c>
      <c r="M53" s="252">
        <v>203060.4</v>
      </c>
      <c r="N53" s="125">
        <v>4804871</v>
      </c>
      <c r="O53" s="41"/>
      <c r="P53" s="250" t="s">
        <v>57</v>
      </c>
      <c r="Q53" s="10" t="s">
        <v>339</v>
      </c>
      <c r="R53" s="41">
        <v>699</v>
      </c>
      <c r="S53" s="252">
        <v>2695.8</v>
      </c>
      <c r="T53" s="41">
        <v>1976058</v>
      </c>
      <c r="U53" s="41">
        <v>17944.656160458453</v>
      </c>
      <c r="V53" s="252">
        <v>22991.599999999999</v>
      </c>
      <c r="W53" s="41">
        <v>213680</v>
      </c>
      <c r="X53" s="41">
        <v>64952.442385600451</v>
      </c>
      <c r="Y53" s="252">
        <v>133430.39999999999</v>
      </c>
      <c r="Z53" s="41">
        <v>699451</v>
      </c>
      <c r="AA53" s="41">
        <v>2889189</v>
      </c>
      <c r="AB53" s="41">
        <v>24125679</v>
      </c>
      <c r="AC53" s="125">
        <v>0</v>
      </c>
    </row>
    <row r="54" spans="1:29" ht="15" customHeight="1" x14ac:dyDescent="0.2">
      <c r="A54" s="250" t="s">
        <v>525</v>
      </c>
      <c r="B54" s="10" t="s">
        <v>325</v>
      </c>
      <c r="C54" s="41">
        <v>48</v>
      </c>
      <c r="D54" s="41">
        <v>0</v>
      </c>
      <c r="E54" s="251">
        <v>1.5938119440914871</v>
      </c>
      <c r="F54" s="252">
        <v>76.5</v>
      </c>
      <c r="G54" s="41">
        <v>0</v>
      </c>
      <c r="H54" s="41">
        <v>451491</v>
      </c>
      <c r="I54" s="41">
        <v>25</v>
      </c>
      <c r="J54" s="252">
        <v>2432.6999999999998</v>
      </c>
      <c r="K54" s="252">
        <v>3605</v>
      </c>
      <c r="L54" s="252">
        <v>5654.5199999999995</v>
      </c>
      <c r="M54" s="252">
        <v>8087.2</v>
      </c>
      <c r="N54" s="125">
        <v>191362</v>
      </c>
      <c r="O54" s="41"/>
      <c r="P54" s="250" t="s">
        <v>525</v>
      </c>
      <c r="Q54" s="10" t="s">
        <v>325</v>
      </c>
      <c r="R54" s="41">
        <v>16</v>
      </c>
      <c r="S54" s="252">
        <v>62.4</v>
      </c>
      <c r="T54" s="41">
        <v>45740</v>
      </c>
      <c r="U54" s="41">
        <v>875</v>
      </c>
      <c r="V54" s="252">
        <v>892.2</v>
      </c>
      <c r="W54" s="41">
        <v>8292</v>
      </c>
      <c r="X54" s="41">
        <v>614</v>
      </c>
      <c r="Y54" s="252">
        <v>2149</v>
      </c>
      <c r="Z54" s="41">
        <v>11265</v>
      </c>
      <c r="AA54" s="41">
        <v>65297</v>
      </c>
      <c r="AB54" s="41">
        <v>708150</v>
      </c>
      <c r="AC54" s="125">
        <v>16010</v>
      </c>
    </row>
    <row r="55" spans="1:29" ht="15" customHeight="1" x14ac:dyDescent="0.2">
      <c r="A55" s="250" t="s">
        <v>59</v>
      </c>
      <c r="B55" s="10" t="s">
        <v>324</v>
      </c>
      <c r="C55" s="41">
        <v>2733</v>
      </c>
      <c r="D55" s="41">
        <v>118</v>
      </c>
      <c r="E55" s="251">
        <v>1.1669756939625588</v>
      </c>
      <c r="F55" s="252">
        <v>3189.3</v>
      </c>
      <c r="G55" s="41">
        <v>0</v>
      </c>
      <c r="H55" s="41">
        <v>18822754</v>
      </c>
      <c r="I55" s="41">
        <v>1202</v>
      </c>
      <c r="J55" s="252">
        <v>64982.505752999998</v>
      </c>
      <c r="K55" s="252">
        <v>178234.07142868999</v>
      </c>
      <c r="L55" s="252">
        <v>185088.27078577765</v>
      </c>
      <c r="M55" s="252">
        <v>250070.8</v>
      </c>
      <c r="N55" s="125">
        <v>5917244</v>
      </c>
      <c r="O55" s="41"/>
      <c r="P55" s="250" t="s">
        <v>59</v>
      </c>
      <c r="Q55" s="10" t="s">
        <v>324</v>
      </c>
      <c r="R55" s="41">
        <v>860</v>
      </c>
      <c r="S55" s="252">
        <v>3000.3</v>
      </c>
      <c r="T55" s="41">
        <v>2199261</v>
      </c>
      <c r="U55" s="41">
        <v>17842.335216572505</v>
      </c>
      <c r="V55" s="252">
        <v>22859.5</v>
      </c>
      <c r="W55" s="41">
        <v>212452</v>
      </c>
      <c r="X55" s="41">
        <v>56209.810389403159</v>
      </c>
      <c r="Y55" s="252">
        <v>121341.5</v>
      </c>
      <c r="Z55" s="41">
        <v>636080</v>
      </c>
      <c r="AA55" s="41">
        <v>3047793</v>
      </c>
      <c r="AB55" s="41">
        <v>27787791</v>
      </c>
      <c r="AC55" s="125">
        <v>0</v>
      </c>
    </row>
    <row r="56" spans="1:29" ht="15" customHeight="1" x14ac:dyDescent="0.2">
      <c r="A56" s="250" t="s">
        <v>60</v>
      </c>
      <c r="B56" s="10" t="s">
        <v>318</v>
      </c>
      <c r="C56" s="41">
        <v>5800</v>
      </c>
      <c r="D56" s="41">
        <v>120</v>
      </c>
      <c r="E56" s="251">
        <v>1.0310418065536644</v>
      </c>
      <c r="F56" s="252">
        <v>5980</v>
      </c>
      <c r="G56" s="41">
        <v>45000</v>
      </c>
      <c r="H56" s="41">
        <v>35338033</v>
      </c>
      <c r="I56" s="41">
        <v>2677</v>
      </c>
      <c r="J56" s="252">
        <v>130271.1966850001</v>
      </c>
      <c r="K56" s="252">
        <v>401809.5</v>
      </c>
      <c r="L56" s="252">
        <v>365349.93679999991</v>
      </c>
      <c r="M56" s="252">
        <v>495621.1</v>
      </c>
      <c r="N56" s="125">
        <v>11727524</v>
      </c>
      <c r="O56" s="41"/>
      <c r="P56" s="250" t="s">
        <v>60</v>
      </c>
      <c r="Q56" s="10" t="s">
        <v>318</v>
      </c>
      <c r="R56" s="41">
        <v>1540</v>
      </c>
      <c r="S56" s="252">
        <v>5304.7</v>
      </c>
      <c r="T56" s="41">
        <v>3888417</v>
      </c>
      <c r="U56" s="41">
        <v>7965</v>
      </c>
      <c r="V56" s="252">
        <v>8785.7000000000007</v>
      </c>
      <c r="W56" s="41">
        <v>81653</v>
      </c>
      <c r="X56" s="41">
        <v>79382.400002183596</v>
      </c>
      <c r="Y56" s="252">
        <v>151876</v>
      </c>
      <c r="Z56" s="41">
        <v>796144</v>
      </c>
      <c r="AA56" s="41">
        <v>4766214</v>
      </c>
      <c r="AB56" s="41">
        <v>51831771</v>
      </c>
      <c r="AC56" s="125">
        <v>0</v>
      </c>
    </row>
    <row r="57" spans="1:29" ht="15" customHeight="1" x14ac:dyDescent="0.2">
      <c r="A57" s="250" t="s">
        <v>61</v>
      </c>
      <c r="B57" s="10" t="s">
        <v>338</v>
      </c>
      <c r="C57" s="41">
        <v>345</v>
      </c>
      <c r="D57" s="41">
        <v>0</v>
      </c>
      <c r="E57" s="251">
        <v>0.77516085463907225</v>
      </c>
      <c r="F57" s="252">
        <v>267.39999999999998</v>
      </c>
      <c r="G57" s="41">
        <v>210000</v>
      </c>
      <c r="H57" s="41">
        <v>1788153</v>
      </c>
      <c r="I57" s="41">
        <v>79</v>
      </c>
      <c r="J57" s="252">
        <v>671.89389200000005</v>
      </c>
      <c r="K57" s="252">
        <v>16860</v>
      </c>
      <c r="L57" s="252">
        <v>6373.08</v>
      </c>
      <c r="M57" s="252">
        <v>7045</v>
      </c>
      <c r="N57" s="125">
        <v>166701</v>
      </c>
      <c r="O57" s="41"/>
      <c r="P57" s="250" t="s">
        <v>61</v>
      </c>
      <c r="Q57" s="10" t="s">
        <v>338</v>
      </c>
      <c r="R57" s="41">
        <v>52</v>
      </c>
      <c r="S57" s="252">
        <v>116.8</v>
      </c>
      <c r="T57" s="41">
        <v>85616</v>
      </c>
      <c r="U57" s="41">
        <v>970</v>
      </c>
      <c r="V57" s="252">
        <v>1230</v>
      </c>
      <c r="W57" s="41">
        <v>11431</v>
      </c>
      <c r="X57" s="41">
        <v>2981.9434582511508</v>
      </c>
      <c r="Y57" s="252">
        <v>5922.9</v>
      </c>
      <c r="Z57" s="41">
        <v>31048</v>
      </c>
      <c r="AA57" s="41">
        <v>128095</v>
      </c>
      <c r="AB57" s="41">
        <v>2082949</v>
      </c>
      <c r="AC57" s="125">
        <v>293759</v>
      </c>
    </row>
    <row r="58" spans="1:29" ht="15" customHeight="1" x14ac:dyDescent="0.2">
      <c r="A58" s="250" t="s">
        <v>62</v>
      </c>
      <c r="B58" s="10" t="s">
        <v>337</v>
      </c>
      <c r="C58" s="41">
        <v>652</v>
      </c>
      <c r="D58" s="41">
        <v>0</v>
      </c>
      <c r="E58" s="251">
        <v>4.8018456385501338</v>
      </c>
      <c r="F58" s="252">
        <v>3130.8</v>
      </c>
      <c r="G58" s="41">
        <v>0</v>
      </c>
      <c r="H58" s="41">
        <v>18477496</v>
      </c>
      <c r="I58" s="41">
        <v>182</v>
      </c>
      <c r="J58" s="252">
        <v>28958.469797999998</v>
      </c>
      <c r="K58" s="252">
        <v>35531</v>
      </c>
      <c r="L58" s="252">
        <v>101395.92799999999</v>
      </c>
      <c r="M58" s="252">
        <v>130354.4</v>
      </c>
      <c r="N58" s="125">
        <v>3084482</v>
      </c>
      <c r="O58" s="41"/>
      <c r="P58" s="250" t="s">
        <v>62</v>
      </c>
      <c r="Q58" s="10" t="s">
        <v>337</v>
      </c>
      <c r="R58" s="41">
        <v>56</v>
      </c>
      <c r="S58" s="252">
        <v>298.2</v>
      </c>
      <c r="T58" s="41">
        <v>218585</v>
      </c>
      <c r="U58" s="41">
        <v>4848</v>
      </c>
      <c r="V58" s="252">
        <v>6096.2</v>
      </c>
      <c r="W58" s="41">
        <v>56657</v>
      </c>
      <c r="X58" s="41">
        <v>7205.7142857142853</v>
      </c>
      <c r="Y58" s="252">
        <v>15161</v>
      </c>
      <c r="Z58" s="41">
        <v>79475</v>
      </c>
      <c r="AA58" s="41">
        <v>354717</v>
      </c>
      <c r="AB58" s="41">
        <v>21916695</v>
      </c>
      <c r="AC58" s="125">
        <v>645159</v>
      </c>
    </row>
    <row r="59" spans="1:29" ht="15" customHeight="1" x14ac:dyDescent="0.2">
      <c r="A59" s="250" t="s">
        <v>63</v>
      </c>
      <c r="B59" s="10" t="s">
        <v>336</v>
      </c>
      <c r="C59" s="41">
        <v>1575</v>
      </c>
      <c r="D59" s="41">
        <v>0</v>
      </c>
      <c r="E59" s="251">
        <v>1.0232522086272446</v>
      </c>
      <c r="F59" s="252">
        <v>1611.6</v>
      </c>
      <c r="G59" s="41">
        <v>0</v>
      </c>
      <c r="H59" s="41">
        <v>9511413</v>
      </c>
      <c r="I59" s="41">
        <v>754</v>
      </c>
      <c r="J59" s="252">
        <v>26493.473582000006</v>
      </c>
      <c r="K59" s="252">
        <v>106164.5</v>
      </c>
      <c r="L59" s="252">
        <v>90463.821500000035</v>
      </c>
      <c r="M59" s="252">
        <v>116957.3</v>
      </c>
      <c r="N59" s="125">
        <v>2767476</v>
      </c>
      <c r="O59" s="41"/>
      <c r="P59" s="250" t="s">
        <v>63</v>
      </c>
      <c r="Q59" s="10" t="s">
        <v>336</v>
      </c>
      <c r="R59" s="41">
        <v>563</v>
      </c>
      <c r="S59" s="252">
        <v>1648.4</v>
      </c>
      <c r="T59" s="41">
        <v>1208300</v>
      </c>
      <c r="U59" s="41">
        <v>7890</v>
      </c>
      <c r="V59" s="252">
        <v>9783.2000000000007</v>
      </c>
      <c r="W59" s="41">
        <v>90923</v>
      </c>
      <c r="X59" s="41">
        <v>26971.061490858974</v>
      </c>
      <c r="Y59" s="252">
        <v>58445.3</v>
      </c>
      <c r="Z59" s="41">
        <v>306374</v>
      </c>
      <c r="AA59" s="41">
        <v>1605597</v>
      </c>
      <c r="AB59" s="41">
        <v>13884486</v>
      </c>
      <c r="AC59" s="125">
        <v>552451</v>
      </c>
    </row>
    <row r="60" spans="1:29" ht="15" customHeight="1" x14ac:dyDescent="0.2">
      <c r="A60" s="250" t="s">
        <v>64</v>
      </c>
      <c r="B60" s="10" t="s">
        <v>335</v>
      </c>
      <c r="C60" s="41">
        <v>120</v>
      </c>
      <c r="D60" s="41">
        <v>0</v>
      </c>
      <c r="E60" s="251">
        <v>1.7620419536357699</v>
      </c>
      <c r="F60" s="252">
        <v>211.4</v>
      </c>
      <c r="G60" s="41">
        <v>0</v>
      </c>
      <c r="H60" s="41">
        <v>1247650</v>
      </c>
      <c r="I60" s="41">
        <v>74</v>
      </c>
      <c r="J60" s="252">
        <v>5058.0232029999988</v>
      </c>
      <c r="K60" s="252">
        <v>12540</v>
      </c>
      <c r="L60" s="252">
        <v>14295.35</v>
      </c>
      <c r="M60" s="252">
        <v>19353.400000000001</v>
      </c>
      <c r="N60" s="125">
        <v>457946</v>
      </c>
      <c r="O60" s="41"/>
      <c r="P60" s="250" t="s">
        <v>64</v>
      </c>
      <c r="Q60" s="10" t="s">
        <v>335</v>
      </c>
      <c r="R60" s="41">
        <v>56</v>
      </c>
      <c r="S60" s="252">
        <v>171.5</v>
      </c>
      <c r="T60" s="41">
        <v>125712</v>
      </c>
      <c r="U60" s="41">
        <v>986</v>
      </c>
      <c r="V60" s="252">
        <v>1235</v>
      </c>
      <c r="W60" s="41">
        <v>11478</v>
      </c>
      <c r="X60" s="41">
        <v>4206.2706651287963</v>
      </c>
      <c r="Y60" s="252">
        <v>9066.7000000000007</v>
      </c>
      <c r="Z60" s="41">
        <v>47528</v>
      </c>
      <c r="AA60" s="41">
        <v>184718</v>
      </c>
      <c r="AB60" s="41">
        <v>1890314</v>
      </c>
      <c r="AC60" s="125">
        <v>14970</v>
      </c>
    </row>
    <row r="61" spans="1:29" ht="15" customHeight="1" x14ac:dyDescent="0.2">
      <c r="A61" s="250" t="s">
        <v>65</v>
      </c>
      <c r="B61" s="10" t="s">
        <v>334</v>
      </c>
      <c r="C61" s="41">
        <v>20</v>
      </c>
      <c r="D61" s="41">
        <v>0</v>
      </c>
      <c r="E61" s="251">
        <v>0.76229999999999942</v>
      </c>
      <c r="F61" s="252">
        <v>15.2</v>
      </c>
      <c r="G61" s="41">
        <v>0</v>
      </c>
      <c r="H61" s="41">
        <v>89708</v>
      </c>
      <c r="I61" s="41">
        <v>13</v>
      </c>
      <c r="J61" s="252">
        <v>182.83307499999995</v>
      </c>
      <c r="K61" s="252">
        <v>1685</v>
      </c>
      <c r="L61" s="252">
        <v>900.80100000000016</v>
      </c>
      <c r="M61" s="252">
        <v>1083.5999999999999</v>
      </c>
      <c r="N61" s="125">
        <v>25640</v>
      </c>
      <c r="O61" s="41"/>
      <c r="P61" s="250" t="s">
        <v>65</v>
      </c>
      <c r="Q61" s="10" t="s">
        <v>334</v>
      </c>
      <c r="R61" s="41">
        <v>7</v>
      </c>
      <c r="S61" s="252">
        <v>25.6</v>
      </c>
      <c r="T61" s="41">
        <v>18765</v>
      </c>
      <c r="U61" s="41">
        <v>165.6</v>
      </c>
      <c r="V61" s="252">
        <v>184</v>
      </c>
      <c r="W61" s="41">
        <v>1710</v>
      </c>
      <c r="X61" s="41">
        <v>898.71999999999991</v>
      </c>
      <c r="Y61" s="252">
        <v>1707.2</v>
      </c>
      <c r="Z61" s="41">
        <v>8949</v>
      </c>
      <c r="AA61" s="41">
        <v>29424</v>
      </c>
      <c r="AB61" s="41">
        <v>144772</v>
      </c>
      <c r="AC61" s="125">
        <v>6908</v>
      </c>
    </row>
    <row r="62" spans="1:29" ht="15" customHeight="1" x14ac:dyDescent="0.2">
      <c r="A62" s="250" t="s">
        <v>147</v>
      </c>
      <c r="B62" s="10" t="s">
        <v>333</v>
      </c>
      <c r="C62" s="41">
        <v>37</v>
      </c>
      <c r="D62" s="41">
        <v>0</v>
      </c>
      <c r="E62" s="251">
        <v>0.73658725048873142</v>
      </c>
      <c r="F62" s="252">
        <v>27.3</v>
      </c>
      <c r="G62" s="41">
        <v>0</v>
      </c>
      <c r="H62" s="41">
        <v>161120</v>
      </c>
      <c r="I62" s="41">
        <v>20</v>
      </c>
      <c r="J62" s="252">
        <v>221.3244</v>
      </c>
      <c r="K62" s="252">
        <v>3000</v>
      </c>
      <c r="L62" s="252">
        <v>1603.8000000000002</v>
      </c>
      <c r="M62" s="252">
        <v>1825.1</v>
      </c>
      <c r="N62" s="125">
        <v>43186</v>
      </c>
      <c r="O62" s="41"/>
      <c r="P62" s="250" t="s">
        <v>147</v>
      </c>
      <c r="Q62" s="10" t="s">
        <v>333</v>
      </c>
      <c r="R62" s="41">
        <v>14</v>
      </c>
      <c r="S62" s="252">
        <v>44.7</v>
      </c>
      <c r="T62" s="41">
        <v>32766</v>
      </c>
      <c r="U62" s="41">
        <v>247</v>
      </c>
      <c r="V62" s="252">
        <v>296.39999999999998</v>
      </c>
      <c r="W62" s="41">
        <v>2755</v>
      </c>
      <c r="X62" s="41">
        <v>830</v>
      </c>
      <c r="Y62" s="252">
        <v>3139.3</v>
      </c>
      <c r="Z62" s="41">
        <v>16456</v>
      </c>
      <c r="AA62" s="41">
        <v>51977</v>
      </c>
      <c r="AB62" s="41">
        <v>256283</v>
      </c>
      <c r="AC62" s="125">
        <v>26587</v>
      </c>
    </row>
    <row r="63" spans="1:29" ht="15" customHeight="1" x14ac:dyDescent="0.2">
      <c r="A63" s="250" t="s">
        <v>163</v>
      </c>
      <c r="B63" s="10" t="s">
        <v>332</v>
      </c>
      <c r="C63" s="41">
        <v>12</v>
      </c>
      <c r="D63" s="41">
        <v>0</v>
      </c>
      <c r="E63" s="251">
        <v>0.43</v>
      </c>
      <c r="F63" s="252">
        <v>5.2</v>
      </c>
      <c r="G63" s="41">
        <v>0</v>
      </c>
      <c r="H63" s="41">
        <v>30690</v>
      </c>
      <c r="I63" s="41">
        <v>0</v>
      </c>
      <c r="J63" s="252">
        <v>0</v>
      </c>
      <c r="K63" s="252">
        <v>0</v>
      </c>
      <c r="L63" s="252">
        <v>0</v>
      </c>
      <c r="M63" s="252">
        <v>0</v>
      </c>
      <c r="N63" s="125">
        <v>0</v>
      </c>
      <c r="O63" s="41"/>
      <c r="P63" s="250" t="s">
        <v>163</v>
      </c>
      <c r="Q63" s="10" t="s">
        <v>332</v>
      </c>
      <c r="R63" s="41">
        <v>0</v>
      </c>
      <c r="S63" s="252">
        <v>0</v>
      </c>
      <c r="T63" s="41">
        <v>0</v>
      </c>
      <c r="U63" s="41">
        <v>0</v>
      </c>
      <c r="V63" s="252">
        <v>0</v>
      </c>
      <c r="W63" s="41">
        <v>0</v>
      </c>
      <c r="X63" s="41">
        <v>0</v>
      </c>
      <c r="Y63" s="252">
        <v>0</v>
      </c>
      <c r="Z63" s="41">
        <v>0</v>
      </c>
      <c r="AA63" s="41">
        <v>0</v>
      </c>
      <c r="AB63" s="41">
        <v>30690</v>
      </c>
      <c r="AC63" s="125">
        <v>42648</v>
      </c>
    </row>
    <row r="64" spans="1:29" ht="15" customHeight="1" x14ac:dyDescent="0.2">
      <c r="A64" s="250" t="s">
        <v>66</v>
      </c>
      <c r="B64" s="10" t="s">
        <v>331</v>
      </c>
      <c r="C64" s="41">
        <v>105</v>
      </c>
      <c r="D64" s="41">
        <v>0</v>
      </c>
      <c r="E64" s="251">
        <v>1.0503663842228421</v>
      </c>
      <c r="F64" s="252">
        <v>110.3</v>
      </c>
      <c r="G64" s="41">
        <v>0</v>
      </c>
      <c r="H64" s="41">
        <v>650974</v>
      </c>
      <c r="I64" s="41">
        <v>48</v>
      </c>
      <c r="J64" s="252">
        <v>1810.4061840000002</v>
      </c>
      <c r="K64" s="252">
        <v>10713</v>
      </c>
      <c r="L64" s="252">
        <v>7952.1820000000007</v>
      </c>
      <c r="M64" s="252">
        <v>9762.6</v>
      </c>
      <c r="N64" s="125">
        <v>231005</v>
      </c>
      <c r="O64" s="41"/>
      <c r="P64" s="250" t="s">
        <v>66</v>
      </c>
      <c r="Q64" s="10" t="s">
        <v>331</v>
      </c>
      <c r="R64" s="41">
        <v>33</v>
      </c>
      <c r="S64" s="252">
        <v>125</v>
      </c>
      <c r="T64" s="41">
        <v>91627</v>
      </c>
      <c r="U64" s="41">
        <v>1085</v>
      </c>
      <c r="V64" s="252">
        <v>1190</v>
      </c>
      <c r="W64" s="41">
        <v>11060</v>
      </c>
      <c r="X64" s="41">
        <v>633</v>
      </c>
      <c r="Y64" s="252">
        <v>2416.5</v>
      </c>
      <c r="Z64" s="41">
        <v>12667</v>
      </c>
      <c r="AA64" s="41">
        <v>115354</v>
      </c>
      <c r="AB64" s="41">
        <v>997333</v>
      </c>
      <c r="AC64" s="125">
        <v>40749</v>
      </c>
    </row>
    <row r="65" spans="1:29" ht="15" customHeight="1" x14ac:dyDescent="0.2">
      <c r="A65" s="250" t="s">
        <v>67</v>
      </c>
      <c r="B65" s="10" t="s">
        <v>330</v>
      </c>
      <c r="C65" s="41">
        <v>2510</v>
      </c>
      <c r="D65" s="41">
        <v>135</v>
      </c>
      <c r="E65" s="251">
        <v>1.0748560094876323</v>
      </c>
      <c r="F65" s="252">
        <v>2697.9</v>
      </c>
      <c r="G65" s="41">
        <v>115000</v>
      </c>
      <c r="H65" s="41">
        <v>16037588</v>
      </c>
      <c r="I65" s="41">
        <v>971</v>
      </c>
      <c r="J65" s="252">
        <v>56097.967511999981</v>
      </c>
      <c r="K65" s="252">
        <v>160083.92857146001</v>
      </c>
      <c r="L65" s="252">
        <v>155849.6521143025</v>
      </c>
      <c r="M65" s="252">
        <v>211947.6</v>
      </c>
      <c r="N65" s="125">
        <v>5015163</v>
      </c>
      <c r="O65" s="41"/>
      <c r="P65" s="250" t="s">
        <v>67</v>
      </c>
      <c r="Q65" s="10" t="s">
        <v>330</v>
      </c>
      <c r="R65" s="41">
        <v>591</v>
      </c>
      <c r="S65" s="252">
        <v>2425.5</v>
      </c>
      <c r="T65" s="41">
        <v>1777924</v>
      </c>
      <c r="U65" s="41">
        <v>8690</v>
      </c>
      <c r="V65" s="252">
        <v>10735.9</v>
      </c>
      <c r="W65" s="41">
        <v>99778</v>
      </c>
      <c r="X65" s="41">
        <v>20212.603215296695</v>
      </c>
      <c r="Y65" s="252">
        <v>39126.9</v>
      </c>
      <c r="Z65" s="41">
        <v>205106</v>
      </c>
      <c r="AA65" s="41">
        <v>2082808</v>
      </c>
      <c r="AB65" s="41">
        <v>23135559</v>
      </c>
      <c r="AC65" s="125">
        <v>0</v>
      </c>
    </row>
    <row r="66" spans="1:29" ht="15" customHeight="1" x14ac:dyDescent="0.2">
      <c r="A66" s="250" t="s">
        <v>68</v>
      </c>
      <c r="B66" s="10" t="s">
        <v>329</v>
      </c>
      <c r="C66" s="41">
        <v>6066</v>
      </c>
      <c r="D66" s="41">
        <v>190</v>
      </c>
      <c r="E66" s="251">
        <v>1.0295657064837356</v>
      </c>
      <c r="F66" s="252">
        <v>6245.3</v>
      </c>
      <c r="G66" s="41">
        <v>20000</v>
      </c>
      <c r="H66" s="41">
        <v>36878792</v>
      </c>
      <c r="I66" s="41">
        <v>2801</v>
      </c>
      <c r="J66" s="252">
        <v>140692.50712100003</v>
      </c>
      <c r="K66" s="252">
        <v>433751.85714286001</v>
      </c>
      <c r="L66" s="252">
        <v>408064.8616285731</v>
      </c>
      <c r="M66" s="252">
        <v>548757.4</v>
      </c>
      <c r="N66" s="125">
        <v>12984850</v>
      </c>
      <c r="O66" s="41"/>
      <c r="P66" s="250" t="s">
        <v>68</v>
      </c>
      <c r="Q66" s="10" t="s">
        <v>329</v>
      </c>
      <c r="R66" s="41">
        <v>1703</v>
      </c>
      <c r="S66" s="252">
        <v>6202.4</v>
      </c>
      <c r="T66" s="41">
        <v>4546443</v>
      </c>
      <c r="U66" s="41">
        <v>15060</v>
      </c>
      <c r="V66" s="252">
        <v>18063.2</v>
      </c>
      <c r="W66" s="41">
        <v>167876</v>
      </c>
      <c r="X66" s="41">
        <v>19411.378179741754</v>
      </c>
      <c r="Y66" s="252">
        <v>33850.300000000003</v>
      </c>
      <c r="Z66" s="41">
        <v>177446</v>
      </c>
      <c r="AA66" s="41">
        <v>4891765</v>
      </c>
      <c r="AB66" s="41">
        <v>54755407</v>
      </c>
      <c r="AC66" s="125">
        <v>0</v>
      </c>
    </row>
    <row r="67" spans="1:29" ht="15" customHeight="1" x14ac:dyDescent="0.2">
      <c r="A67" s="250" t="s">
        <v>69</v>
      </c>
      <c r="B67" s="10" t="s">
        <v>328</v>
      </c>
      <c r="C67" s="41">
        <v>2254</v>
      </c>
      <c r="D67" s="41">
        <v>100</v>
      </c>
      <c r="E67" s="251">
        <v>1.0541484994709653</v>
      </c>
      <c r="F67" s="252">
        <v>2376.1</v>
      </c>
      <c r="G67" s="41">
        <v>0</v>
      </c>
      <c r="H67" s="41">
        <v>14023374</v>
      </c>
      <c r="I67" s="41">
        <v>915</v>
      </c>
      <c r="J67" s="252">
        <v>49323.150593999992</v>
      </c>
      <c r="K67" s="252">
        <v>157897</v>
      </c>
      <c r="L67" s="252">
        <v>148075.48790000001</v>
      </c>
      <c r="M67" s="252">
        <v>197398.6</v>
      </c>
      <c r="N67" s="125">
        <v>4670900</v>
      </c>
      <c r="O67" s="41"/>
      <c r="P67" s="250" t="s">
        <v>69</v>
      </c>
      <c r="Q67" s="10" t="s">
        <v>328</v>
      </c>
      <c r="R67" s="41">
        <v>717</v>
      </c>
      <c r="S67" s="252">
        <v>2623.3</v>
      </c>
      <c r="T67" s="41">
        <v>1922914</v>
      </c>
      <c r="U67" s="41">
        <v>13727.558930741192</v>
      </c>
      <c r="V67" s="252">
        <v>17569.599999999999</v>
      </c>
      <c r="W67" s="41">
        <v>163289</v>
      </c>
      <c r="X67" s="41">
        <v>40470.08203125</v>
      </c>
      <c r="Y67" s="252">
        <v>96449.8</v>
      </c>
      <c r="Z67" s="41">
        <v>505596</v>
      </c>
      <c r="AA67" s="41">
        <v>2591799</v>
      </c>
      <c r="AB67" s="41">
        <v>21286073</v>
      </c>
      <c r="AC67" s="125">
        <v>0</v>
      </c>
    </row>
    <row r="68" spans="1:29" ht="15" customHeight="1" x14ac:dyDescent="0.2">
      <c r="A68" s="250" t="s">
        <v>70</v>
      </c>
      <c r="B68" s="10" t="s">
        <v>327</v>
      </c>
      <c r="C68" s="41">
        <v>270</v>
      </c>
      <c r="D68" s="41">
        <v>110</v>
      </c>
      <c r="E68" s="251">
        <v>0.9139645561501325</v>
      </c>
      <c r="F68" s="252">
        <v>246.8</v>
      </c>
      <c r="G68" s="41">
        <v>50000</v>
      </c>
      <c r="H68" s="41">
        <v>1506575</v>
      </c>
      <c r="I68" s="41">
        <v>278</v>
      </c>
      <c r="J68" s="252">
        <v>9310.833591999999</v>
      </c>
      <c r="K68" s="252">
        <v>23400.000000000007</v>
      </c>
      <c r="L68" s="252">
        <v>23639.487249999998</v>
      </c>
      <c r="M68" s="252">
        <v>26346.1</v>
      </c>
      <c r="N68" s="125">
        <v>623409</v>
      </c>
      <c r="O68" s="41"/>
      <c r="P68" s="250" t="s">
        <v>70</v>
      </c>
      <c r="Q68" s="10" t="s">
        <v>327</v>
      </c>
      <c r="R68" s="41">
        <v>86</v>
      </c>
      <c r="S68" s="252">
        <v>330.3</v>
      </c>
      <c r="T68" s="41">
        <v>242114</v>
      </c>
      <c r="U68" s="41">
        <v>3755</v>
      </c>
      <c r="V68" s="252">
        <v>4721.2</v>
      </c>
      <c r="W68" s="41">
        <v>43878</v>
      </c>
      <c r="X68" s="41">
        <v>13133.949604331528</v>
      </c>
      <c r="Y68" s="252">
        <v>30738.6</v>
      </c>
      <c r="Z68" s="41">
        <v>161134</v>
      </c>
      <c r="AA68" s="41">
        <v>447126</v>
      </c>
      <c r="AB68" s="41">
        <v>2577110</v>
      </c>
      <c r="AC68" s="125">
        <v>145404</v>
      </c>
    </row>
    <row r="69" spans="1:29" ht="15" customHeight="1" x14ac:dyDescent="0.2">
      <c r="A69" s="250" t="s">
        <v>71</v>
      </c>
      <c r="B69" s="10" t="s">
        <v>326</v>
      </c>
      <c r="C69" s="41">
        <v>2516</v>
      </c>
      <c r="D69" s="41">
        <v>57</v>
      </c>
      <c r="E69" s="251">
        <v>1.0098258880644133</v>
      </c>
      <c r="F69" s="252">
        <v>2540.6999999999998</v>
      </c>
      <c r="G69" s="41">
        <v>160000</v>
      </c>
      <c r="H69" s="41">
        <v>15154818</v>
      </c>
      <c r="I69" s="41">
        <v>948</v>
      </c>
      <c r="J69" s="252">
        <v>52129.003739999978</v>
      </c>
      <c r="K69" s="252">
        <v>184150.14285695</v>
      </c>
      <c r="L69" s="252">
        <v>168071.73564275348</v>
      </c>
      <c r="M69" s="252">
        <v>220200.7</v>
      </c>
      <c r="N69" s="125">
        <v>5210450</v>
      </c>
      <c r="O69" s="41"/>
      <c r="P69" s="250" t="s">
        <v>71</v>
      </c>
      <c r="Q69" s="10" t="s">
        <v>326</v>
      </c>
      <c r="R69" s="41">
        <v>626</v>
      </c>
      <c r="S69" s="252">
        <v>2364</v>
      </c>
      <c r="T69" s="41">
        <v>1732844</v>
      </c>
      <c r="U69" s="41">
        <v>12161</v>
      </c>
      <c r="V69" s="252">
        <v>13529.1</v>
      </c>
      <c r="W69" s="41">
        <v>125737</v>
      </c>
      <c r="X69" s="41">
        <v>45180.162106920623</v>
      </c>
      <c r="Y69" s="252">
        <v>92229.9</v>
      </c>
      <c r="Z69" s="41">
        <v>483475</v>
      </c>
      <c r="AA69" s="41">
        <v>2342056</v>
      </c>
      <c r="AB69" s="41">
        <v>22707324</v>
      </c>
      <c r="AC69" s="125">
        <v>0</v>
      </c>
    </row>
    <row r="70" spans="1:29" ht="15" customHeight="1" x14ac:dyDescent="0.2">
      <c r="A70" s="250" t="s">
        <v>72</v>
      </c>
      <c r="B70" s="10" t="s">
        <v>322</v>
      </c>
      <c r="C70" s="41">
        <v>100</v>
      </c>
      <c r="D70" s="41">
        <v>25</v>
      </c>
      <c r="E70" s="251">
        <v>0.75264525828721907</v>
      </c>
      <c r="F70" s="252">
        <v>75.3</v>
      </c>
      <c r="G70" s="41">
        <v>0</v>
      </c>
      <c r="H70" s="41">
        <v>444409</v>
      </c>
      <c r="I70" s="41">
        <v>73</v>
      </c>
      <c r="J70" s="252">
        <v>1564.3614349999998</v>
      </c>
      <c r="K70" s="252">
        <v>8542.5</v>
      </c>
      <c r="L70" s="252">
        <v>5291.5319999999992</v>
      </c>
      <c r="M70" s="252">
        <v>6855.9</v>
      </c>
      <c r="N70" s="125">
        <v>162226</v>
      </c>
      <c r="O70" s="41"/>
      <c r="P70" s="250" t="s">
        <v>72</v>
      </c>
      <c r="Q70" s="10" t="s">
        <v>322</v>
      </c>
      <c r="R70" s="41">
        <v>40</v>
      </c>
      <c r="S70" s="252">
        <v>110.4</v>
      </c>
      <c r="T70" s="41">
        <v>80925</v>
      </c>
      <c r="U70" s="41">
        <v>985</v>
      </c>
      <c r="V70" s="252">
        <v>1247.7</v>
      </c>
      <c r="W70" s="41">
        <v>11596</v>
      </c>
      <c r="X70" s="41">
        <v>3426.7566924449729</v>
      </c>
      <c r="Y70" s="252">
        <v>7243.1</v>
      </c>
      <c r="Z70" s="41">
        <v>37969</v>
      </c>
      <c r="AA70" s="41">
        <v>130490</v>
      </c>
      <c r="AB70" s="41">
        <v>737125</v>
      </c>
      <c r="AC70" s="125">
        <v>27484</v>
      </c>
    </row>
    <row r="71" spans="1:29" ht="15" customHeight="1" x14ac:dyDescent="0.2">
      <c r="A71" s="250" t="s">
        <v>73</v>
      </c>
      <c r="B71" s="10" t="s">
        <v>321</v>
      </c>
      <c r="C71" s="41">
        <v>52</v>
      </c>
      <c r="D71" s="41">
        <v>0</v>
      </c>
      <c r="E71" s="251">
        <v>1.5900000000000025</v>
      </c>
      <c r="F71" s="252">
        <v>82.7</v>
      </c>
      <c r="G71" s="41">
        <v>0</v>
      </c>
      <c r="H71" s="41">
        <v>488083</v>
      </c>
      <c r="I71" s="41">
        <v>29</v>
      </c>
      <c r="J71" s="252">
        <v>2633.03685</v>
      </c>
      <c r="K71" s="252">
        <v>4735</v>
      </c>
      <c r="L71" s="252">
        <v>7164.64</v>
      </c>
      <c r="M71" s="252">
        <v>9797.7000000000007</v>
      </c>
      <c r="N71" s="125">
        <v>231836</v>
      </c>
      <c r="O71" s="41"/>
      <c r="P71" s="250" t="s">
        <v>73</v>
      </c>
      <c r="Q71" s="10" t="s">
        <v>321</v>
      </c>
      <c r="R71" s="41">
        <v>25</v>
      </c>
      <c r="S71" s="252">
        <v>99.6</v>
      </c>
      <c r="T71" s="41">
        <v>73008</v>
      </c>
      <c r="U71" s="41">
        <v>257.64705882352939</v>
      </c>
      <c r="V71" s="252">
        <v>328.7</v>
      </c>
      <c r="W71" s="41">
        <v>3055</v>
      </c>
      <c r="X71" s="41">
        <v>304</v>
      </c>
      <c r="Y71" s="252">
        <v>1125</v>
      </c>
      <c r="Z71" s="41">
        <v>5897</v>
      </c>
      <c r="AA71" s="41">
        <v>81960</v>
      </c>
      <c r="AB71" s="41">
        <v>801879</v>
      </c>
      <c r="AC71" s="125">
        <v>13349</v>
      </c>
    </row>
    <row r="72" spans="1:29" ht="15" customHeight="1" x14ac:dyDescent="0.2">
      <c r="A72" s="250" t="s">
        <v>74</v>
      </c>
      <c r="B72" s="10" t="s">
        <v>320</v>
      </c>
      <c r="C72" s="41">
        <v>90</v>
      </c>
      <c r="D72" s="41">
        <v>0</v>
      </c>
      <c r="E72" s="251">
        <v>1.079667167650741</v>
      </c>
      <c r="F72" s="252">
        <v>97.2</v>
      </c>
      <c r="G72" s="41">
        <v>0</v>
      </c>
      <c r="H72" s="41">
        <v>573659</v>
      </c>
      <c r="I72" s="41">
        <v>48</v>
      </c>
      <c r="J72" s="252">
        <v>2568.2382720000001</v>
      </c>
      <c r="K72" s="252">
        <v>9335</v>
      </c>
      <c r="L72" s="252">
        <v>9216.590000000002</v>
      </c>
      <c r="M72" s="252">
        <v>11784.8</v>
      </c>
      <c r="N72" s="125">
        <v>278855</v>
      </c>
      <c r="O72" s="41"/>
      <c r="P72" s="250" t="s">
        <v>74</v>
      </c>
      <c r="Q72" s="10" t="s">
        <v>320</v>
      </c>
      <c r="R72" s="41">
        <v>21</v>
      </c>
      <c r="S72" s="252">
        <v>94.1</v>
      </c>
      <c r="T72" s="41">
        <v>68977</v>
      </c>
      <c r="U72" s="41">
        <v>783</v>
      </c>
      <c r="V72" s="252">
        <v>904.8</v>
      </c>
      <c r="W72" s="41">
        <v>8409</v>
      </c>
      <c r="X72" s="41">
        <v>4058.8042831647831</v>
      </c>
      <c r="Y72" s="252">
        <v>7979.6</v>
      </c>
      <c r="Z72" s="41">
        <v>41830</v>
      </c>
      <c r="AA72" s="41">
        <v>119216</v>
      </c>
      <c r="AB72" s="41">
        <v>971730</v>
      </c>
      <c r="AC72" s="125">
        <v>57260</v>
      </c>
    </row>
    <row r="73" spans="1:29" ht="15" customHeight="1" x14ac:dyDescent="0.2">
      <c r="A73" s="250" t="s">
        <v>75</v>
      </c>
      <c r="B73" s="10" t="s">
        <v>319</v>
      </c>
      <c r="C73" s="41">
        <v>149</v>
      </c>
      <c r="D73" s="41">
        <v>0</v>
      </c>
      <c r="E73" s="251">
        <v>1.3139855592017669</v>
      </c>
      <c r="F73" s="252">
        <v>195.8</v>
      </c>
      <c r="G73" s="41">
        <v>0</v>
      </c>
      <c r="H73" s="41">
        <v>1155581</v>
      </c>
      <c r="I73" s="41">
        <v>92</v>
      </c>
      <c r="J73" s="252">
        <v>4949.5058060000001</v>
      </c>
      <c r="K73" s="252">
        <v>15792.5</v>
      </c>
      <c r="L73" s="252">
        <v>14765.389500000001</v>
      </c>
      <c r="M73" s="252">
        <v>19714.900000000001</v>
      </c>
      <c r="N73" s="125">
        <v>466499</v>
      </c>
      <c r="O73" s="41"/>
      <c r="P73" s="250" t="s">
        <v>75</v>
      </c>
      <c r="Q73" s="10" t="s">
        <v>319</v>
      </c>
      <c r="R73" s="41">
        <v>66</v>
      </c>
      <c r="S73" s="252">
        <v>197.7</v>
      </c>
      <c r="T73" s="41">
        <v>144917</v>
      </c>
      <c r="U73" s="41">
        <v>1141</v>
      </c>
      <c r="V73" s="252">
        <v>1448.6</v>
      </c>
      <c r="W73" s="41">
        <v>13463</v>
      </c>
      <c r="X73" s="41">
        <v>3754.5675675675675</v>
      </c>
      <c r="Y73" s="252">
        <v>13886.8</v>
      </c>
      <c r="Z73" s="41">
        <v>72796</v>
      </c>
      <c r="AA73" s="41">
        <v>231176</v>
      </c>
      <c r="AB73" s="41">
        <v>1853256</v>
      </c>
      <c r="AC73" s="125">
        <v>142721</v>
      </c>
    </row>
    <row r="74" spans="1:29" ht="15" customHeight="1" x14ac:dyDescent="0.2">
      <c r="A74" s="250" t="s">
        <v>164</v>
      </c>
      <c r="B74" s="10" t="s">
        <v>317</v>
      </c>
      <c r="C74" s="41">
        <v>32</v>
      </c>
      <c r="D74" s="41">
        <v>0</v>
      </c>
      <c r="E74" s="251">
        <v>0.94710000000000094</v>
      </c>
      <c r="F74" s="252">
        <v>30.3</v>
      </c>
      <c r="G74" s="41">
        <v>50000</v>
      </c>
      <c r="H74" s="41">
        <v>228826</v>
      </c>
      <c r="I74" s="41">
        <v>0</v>
      </c>
      <c r="J74" s="252">
        <v>0</v>
      </c>
      <c r="K74" s="252">
        <v>0</v>
      </c>
      <c r="L74" s="252">
        <v>0</v>
      </c>
      <c r="M74" s="252">
        <v>0</v>
      </c>
      <c r="N74" s="125">
        <v>0</v>
      </c>
      <c r="O74" s="41"/>
      <c r="P74" s="250" t="s">
        <v>164</v>
      </c>
      <c r="Q74" s="10" t="s">
        <v>317</v>
      </c>
      <c r="R74" s="41">
        <v>8</v>
      </c>
      <c r="S74" s="252">
        <v>34.4</v>
      </c>
      <c r="T74" s="41">
        <v>25216</v>
      </c>
      <c r="U74" s="41">
        <v>0</v>
      </c>
      <c r="V74" s="252">
        <v>0</v>
      </c>
      <c r="W74" s="41">
        <v>0</v>
      </c>
      <c r="X74" s="41">
        <v>0</v>
      </c>
      <c r="Y74" s="252">
        <v>0</v>
      </c>
      <c r="Z74" s="41">
        <v>0</v>
      </c>
      <c r="AA74" s="41">
        <v>25216</v>
      </c>
      <c r="AB74" s="41">
        <v>254042</v>
      </c>
      <c r="AC74" s="125">
        <v>0</v>
      </c>
    </row>
    <row r="75" spans="1:29" ht="15" customHeight="1" x14ac:dyDescent="0.2">
      <c r="A75" s="250" t="s">
        <v>76</v>
      </c>
      <c r="B75" s="10" t="s">
        <v>361</v>
      </c>
      <c r="C75" s="41">
        <v>37</v>
      </c>
      <c r="D75" s="41">
        <v>0</v>
      </c>
      <c r="E75" s="251">
        <v>0.7623000000000002</v>
      </c>
      <c r="F75" s="252">
        <v>28.2</v>
      </c>
      <c r="G75" s="41">
        <v>0</v>
      </c>
      <c r="H75" s="41">
        <v>166432</v>
      </c>
      <c r="I75" s="41">
        <v>31</v>
      </c>
      <c r="J75" s="252">
        <v>558.12157400000001</v>
      </c>
      <c r="K75" s="252">
        <v>4792.5</v>
      </c>
      <c r="L75" s="252">
        <v>2562.0705000000003</v>
      </c>
      <c r="M75" s="252">
        <v>3120.2</v>
      </c>
      <c r="N75" s="125">
        <v>73831</v>
      </c>
      <c r="O75" s="41"/>
      <c r="P75" s="250" t="s">
        <v>76</v>
      </c>
      <c r="Q75" s="10" t="s">
        <v>361</v>
      </c>
      <c r="R75" s="41">
        <v>29</v>
      </c>
      <c r="S75" s="252">
        <v>92.8</v>
      </c>
      <c r="T75" s="41">
        <v>68024</v>
      </c>
      <c r="U75" s="41">
        <v>0</v>
      </c>
      <c r="V75" s="252">
        <v>0</v>
      </c>
      <c r="W75" s="41">
        <v>0</v>
      </c>
      <c r="X75" s="41">
        <v>1046.1818181818182</v>
      </c>
      <c r="Y75" s="252">
        <v>4018.7</v>
      </c>
      <c r="Z75" s="41">
        <v>21066</v>
      </c>
      <c r="AA75" s="41">
        <v>89090</v>
      </c>
      <c r="AB75" s="41">
        <v>329353</v>
      </c>
      <c r="AC75" s="125">
        <v>0</v>
      </c>
    </row>
    <row r="76" spans="1:29" ht="15" customHeight="1" x14ac:dyDescent="0.2">
      <c r="A76" s="250" t="s">
        <v>77</v>
      </c>
      <c r="B76" s="10" t="s">
        <v>316</v>
      </c>
      <c r="C76" s="41">
        <v>27</v>
      </c>
      <c r="D76" s="41">
        <v>0</v>
      </c>
      <c r="E76" s="251">
        <v>0.76230000000000031</v>
      </c>
      <c r="F76" s="252">
        <v>20.6</v>
      </c>
      <c r="G76" s="41">
        <v>0</v>
      </c>
      <c r="H76" s="41">
        <v>121578</v>
      </c>
      <c r="I76" s="41">
        <v>23</v>
      </c>
      <c r="J76" s="252">
        <v>538.87599299999999</v>
      </c>
      <c r="K76" s="252">
        <v>3360</v>
      </c>
      <c r="L76" s="252">
        <v>1864.4175</v>
      </c>
      <c r="M76" s="252">
        <v>2335.1</v>
      </c>
      <c r="N76" s="125">
        <v>55254</v>
      </c>
      <c r="O76" s="41"/>
      <c r="P76" s="250" t="s">
        <v>77</v>
      </c>
      <c r="Q76" s="10" t="s">
        <v>316</v>
      </c>
      <c r="R76" s="41">
        <v>28</v>
      </c>
      <c r="S76" s="252">
        <v>89.5</v>
      </c>
      <c r="T76" s="41">
        <v>65605</v>
      </c>
      <c r="U76" s="41">
        <v>372</v>
      </c>
      <c r="V76" s="252">
        <v>418.5</v>
      </c>
      <c r="W76" s="41">
        <v>3889</v>
      </c>
      <c r="X76" s="41">
        <v>765</v>
      </c>
      <c r="Y76" s="252">
        <v>2295</v>
      </c>
      <c r="Z76" s="41">
        <v>12031</v>
      </c>
      <c r="AA76" s="41">
        <v>81525</v>
      </c>
      <c r="AB76" s="41">
        <v>258357</v>
      </c>
      <c r="AC76" s="125">
        <v>1296</v>
      </c>
    </row>
    <row r="77" spans="1:29" ht="15" customHeight="1" x14ac:dyDescent="0.2">
      <c r="A77" s="250" t="s">
        <v>78</v>
      </c>
      <c r="B77" s="10" t="s">
        <v>315</v>
      </c>
      <c r="C77" s="41">
        <v>43</v>
      </c>
      <c r="D77" s="41">
        <v>0</v>
      </c>
      <c r="E77" s="251">
        <v>1.4554610502737675</v>
      </c>
      <c r="F77" s="252">
        <v>62.6</v>
      </c>
      <c r="G77" s="41">
        <v>0</v>
      </c>
      <c r="H77" s="41">
        <v>369455</v>
      </c>
      <c r="I77" s="41">
        <v>19</v>
      </c>
      <c r="J77" s="252">
        <v>1745.8192979999999</v>
      </c>
      <c r="K77" s="252">
        <v>3159</v>
      </c>
      <c r="L77" s="252">
        <v>4834.13</v>
      </c>
      <c r="M77" s="252">
        <v>6579.9</v>
      </c>
      <c r="N77" s="125">
        <v>155695</v>
      </c>
      <c r="O77" s="41"/>
      <c r="P77" s="250" t="s">
        <v>78</v>
      </c>
      <c r="Q77" s="10" t="s">
        <v>315</v>
      </c>
      <c r="R77" s="41">
        <v>20</v>
      </c>
      <c r="S77" s="252">
        <v>71.099999999999994</v>
      </c>
      <c r="T77" s="41">
        <v>52117</v>
      </c>
      <c r="U77" s="41">
        <v>245</v>
      </c>
      <c r="V77" s="252">
        <v>307.89999999999998</v>
      </c>
      <c r="W77" s="41">
        <v>2862</v>
      </c>
      <c r="X77" s="41">
        <v>527</v>
      </c>
      <c r="Y77" s="252">
        <v>2024.9</v>
      </c>
      <c r="Z77" s="41">
        <v>10615</v>
      </c>
      <c r="AA77" s="41">
        <v>65594</v>
      </c>
      <c r="AB77" s="41">
        <v>590744</v>
      </c>
      <c r="AC77" s="125">
        <v>11249</v>
      </c>
    </row>
    <row r="78" spans="1:29" ht="15" customHeight="1" x14ac:dyDescent="0.2">
      <c r="A78" s="250" t="s">
        <v>79</v>
      </c>
      <c r="B78" s="10" t="s">
        <v>313</v>
      </c>
      <c r="C78" s="41">
        <v>1205</v>
      </c>
      <c r="D78" s="41">
        <v>90</v>
      </c>
      <c r="E78" s="251">
        <v>0.97143258818271572</v>
      </c>
      <c r="F78" s="252">
        <v>1170.5999999999999</v>
      </c>
      <c r="G78" s="41">
        <v>170000</v>
      </c>
      <c r="H78" s="41">
        <v>7078700</v>
      </c>
      <c r="I78" s="41">
        <v>563</v>
      </c>
      <c r="J78" s="252">
        <v>22135.768767999987</v>
      </c>
      <c r="K78" s="252">
        <v>85123.500000009997</v>
      </c>
      <c r="L78" s="252">
        <v>70506.621800005334</v>
      </c>
      <c r="M78" s="252">
        <v>92642.4</v>
      </c>
      <c r="N78" s="125">
        <v>2192130</v>
      </c>
      <c r="O78" s="41"/>
      <c r="P78" s="250" t="s">
        <v>79</v>
      </c>
      <c r="Q78" s="10" t="s">
        <v>313</v>
      </c>
      <c r="R78" s="41">
        <v>416</v>
      </c>
      <c r="S78" s="252">
        <v>1437.6</v>
      </c>
      <c r="T78" s="41">
        <v>1053780</v>
      </c>
      <c r="U78" s="41">
        <v>7664.8903225806453</v>
      </c>
      <c r="V78" s="252">
        <v>9804.4</v>
      </c>
      <c r="W78" s="41">
        <v>91120</v>
      </c>
      <c r="X78" s="41">
        <v>27222.093464825775</v>
      </c>
      <c r="Y78" s="252">
        <v>64915.8</v>
      </c>
      <c r="Z78" s="41">
        <v>340293</v>
      </c>
      <c r="AA78" s="41">
        <v>1485193</v>
      </c>
      <c r="AB78" s="41">
        <v>10756023</v>
      </c>
      <c r="AC78" s="125">
        <v>0</v>
      </c>
    </row>
    <row r="79" spans="1:29" ht="15" customHeight="1" x14ac:dyDescent="0.2">
      <c r="A79" s="250" t="s">
        <v>80</v>
      </c>
      <c r="B79" s="10" t="s">
        <v>311</v>
      </c>
      <c r="C79" s="41">
        <v>1694</v>
      </c>
      <c r="D79" s="41">
        <v>35</v>
      </c>
      <c r="E79" s="251">
        <v>1.095744466439003</v>
      </c>
      <c r="F79" s="252">
        <v>1856.2</v>
      </c>
      <c r="G79" s="41">
        <v>60000</v>
      </c>
      <c r="H79" s="41">
        <v>11015005</v>
      </c>
      <c r="I79" s="41">
        <v>667</v>
      </c>
      <c r="J79" s="252">
        <v>38975.958979999996</v>
      </c>
      <c r="K79" s="252">
        <v>118098.64285715</v>
      </c>
      <c r="L79" s="252">
        <v>121510.20207143239</v>
      </c>
      <c r="M79" s="252">
        <v>160486.20000000001</v>
      </c>
      <c r="N79" s="125">
        <v>3797469</v>
      </c>
      <c r="O79" s="41"/>
      <c r="P79" s="250" t="s">
        <v>80</v>
      </c>
      <c r="Q79" s="10" t="s">
        <v>311</v>
      </c>
      <c r="R79" s="41">
        <v>534</v>
      </c>
      <c r="S79" s="252">
        <v>1965.4</v>
      </c>
      <c r="T79" s="41">
        <v>1440665</v>
      </c>
      <c r="U79" s="41">
        <v>12137</v>
      </c>
      <c r="V79" s="252">
        <v>15214.7</v>
      </c>
      <c r="W79" s="41">
        <v>141403</v>
      </c>
      <c r="X79" s="41">
        <v>37763.562475970779</v>
      </c>
      <c r="Y79" s="252">
        <v>79017.7</v>
      </c>
      <c r="Z79" s="41">
        <v>414216</v>
      </c>
      <c r="AA79" s="41">
        <v>1996284</v>
      </c>
      <c r="AB79" s="41">
        <v>16808758</v>
      </c>
      <c r="AC79" s="125">
        <v>0</v>
      </c>
    </row>
    <row r="80" spans="1:29" ht="15" customHeight="1" x14ac:dyDescent="0.2">
      <c r="A80" s="250" t="s">
        <v>81</v>
      </c>
      <c r="B80" s="10" t="s">
        <v>310</v>
      </c>
      <c r="C80" s="41">
        <v>2880</v>
      </c>
      <c r="D80" s="41">
        <v>70</v>
      </c>
      <c r="E80" s="251">
        <v>1.0632182610548193</v>
      </c>
      <c r="F80" s="252">
        <v>3062.1</v>
      </c>
      <c r="G80" s="41">
        <v>0</v>
      </c>
      <c r="H80" s="41">
        <v>18072039</v>
      </c>
      <c r="I80" s="41">
        <v>1077</v>
      </c>
      <c r="J80" s="252">
        <v>53432.493918000044</v>
      </c>
      <c r="K80" s="252">
        <v>180135.00000001001</v>
      </c>
      <c r="L80" s="252">
        <v>169761.27410000534</v>
      </c>
      <c r="M80" s="252">
        <v>223193.8</v>
      </c>
      <c r="N80" s="125">
        <v>5281273</v>
      </c>
      <c r="O80" s="41"/>
      <c r="P80" s="250" t="s">
        <v>81</v>
      </c>
      <c r="Q80" s="10" t="s">
        <v>310</v>
      </c>
      <c r="R80" s="41">
        <v>642</v>
      </c>
      <c r="S80" s="252">
        <v>2254.8000000000002</v>
      </c>
      <c r="T80" s="41">
        <v>1652799</v>
      </c>
      <c r="U80" s="41">
        <v>9723</v>
      </c>
      <c r="V80" s="252">
        <v>12438.3</v>
      </c>
      <c r="W80" s="41">
        <v>115599</v>
      </c>
      <c r="X80" s="41">
        <v>39435.268429065749</v>
      </c>
      <c r="Y80" s="252">
        <v>77515.7</v>
      </c>
      <c r="Z80" s="41">
        <v>406343</v>
      </c>
      <c r="AA80" s="41">
        <v>2174741</v>
      </c>
      <c r="AB80" s="41">
        <v>25528053</v>
      </c>
      <c r="AC80" s="125">
        <v>0</v>
      </c>
    </row>
    <row r="81" spans="1:29" ht="15" customHeight="1" x14ac:dyDescent="0.2">
      <c r="A81" s="250" t="s">
        <v>82</v>
      </c>
      <c r="B81" s="10" t="s">
        <v>309</v>
      </c>
      <c r="C81" s="41">
        <v>4664</v>
      </c>
      <c r="D81" s="41">
        <v>330</v>
      </c>
      <c r="E81" s="251">
        <v>1.0403404127433953</v>
      </c>
      <c r="F81" s="252">
        <v>4852.1000000000004</v>
      </c>
      <c r="G81" s="41">
        <v>45000</v>
      </c>
      <c r="H81" s="41">
        <v>28681342</v>
      </c>
      <c r="I81" s="41">
        <v>1869</v>
      </c>
      <c r="J81" s="252">
        <v>91755.007005000021</v>
      </c>
      <c r="K81" s="252">
        <v>284110.92857121996</v>
      </c>
      <c r="L81" s="252">
        <v>261597.31141417037</v>
      </c>
      <c r="M81" s="252">
        <v>353352.3</v>
      </c>
      <c r="N81" s="125">
        <v>8361120</v>
      </c>
      <c r="O81" s="41"/>
      <c r="P81" s="250" t="s">
        <v>82</v>
      </c>
      <c r="Q81" s="10" t="s">
        <v>309</v>
      </c>
      <c r="R81" s="41">
        <v>1522</v>
      </c>
      <c r="S81" s="252">
        <v>5398</v>
      </c>
      <c r="T81" s="41">
        <v>3956807</v>
      </c>
      <c r="U81" s="41">
        <v>22318</v>
      </c>
      <c r="V81" s="252">
        <v>28516.799999999999</v>
      </c>
      <c r="W81" s="41">
        <v>265030</v>
      </c>
      <c r="X81" s="41">
        <v>96306.756767751489</v>
      </c>
      <c r="Y81" s="252">
        <v>188835.1</v>
      </c>
      <c r="Z81" s="41">
        <v>989886</v>
      </c>
      <c r="AA81" s="41">
        <v>5211723</v>
      </c>
      <c r="AB81" s="41">
        <v>42254185</v>
      </c>
      <c r="AC81" s="125">
        <v>3092463</v>
      </c>
    </row>
    <row r="82" spans="1:29" ht="15" customHeight="1" x14ac:dyDescent="0.2">
      <c r="A82" s="250" t="s">
        <v>83</v>
      </c>
      <c r="B82" s="10" t="s">
        <v>307</v>
      </c>
      <c r="C82" s="41">
        <v>214</v>
      </c>
      <c r="D82" s="41">
        <v>0</v>
      </c>
      <c r="E82" s="251">
        <v>1.0140919311502961</v>
      </c>
      <c r="F82" s="252">
        <v>217</v>
      </c>
      <c r="G82" s="41">
        <v>0</v>
      </c>
      <c r="H82" s="41">
        <v>1280700</v>
      </c>
      <c r="I82" s="41">
        <v>67</v>
      </c>
      <c r="J82" s="252">
        <v>3119.279047</v>
      </c>
      <c r="K82" s="252">
        <v>16038</v>
      </c>
      <c r="L82" s="252">
        <v>14042.246200000001</v>
      </c>
      <c r="M82" s="252">
        <v>17161.5</v>
      </c>
      <c r="N82" s="125">
        <v>406080</v>
      </c>
      <c r="O82" s="41"/>
      <c r="P82" s="250" t="s">
        <v>83</v>
      </c>
      <c r="Q82" s="10" t="s">
        <v>307</v>
      </c>
      <c r="R82" s="41">
        <v>57</v>
      </c>
      <c r="S82" s="252">
        <v>200.1</v>
      </c>
      <c r="T82" s="41">
        <v>146676</v>
      </c>
      <c r="U82" s="41">
        <v>1175.3424657534247</v>
      </c>
      <c r="V82" s="252">
        <v>1505.3</v>
      </c>
      <c r="W82" s="41">
        <v>13990</v>
      </c>
      <c r="X82" s="41">
        <v>6154</v>
      </c>
      <c r="Y82" s="252">
        <v>11640</v>
      </c>
      <c r="Z82" s="41">
        <v>61018</v>
      </c>
      <c r="AA82" s="41">
        <v>221684</v>
      </c>
      <c r="AB82" s="41">
        <v>1908464</v>
      </c>
      <c r="AC82" s="125">
        <v>80404</v>
      </c>
    </row>
    <row r="83" spans="1:29" ht="15" customHeight="1" x14ac:dyDescent="0.2">
      <c r="A83" s="250" t="s">
        <v>84</v>
      </c>
      <c r="B83" s="10" t="s">
        <v>303</v>
      </c>
      <c r="C83" s="41">
        <v>73</v>
      </c>
      <c r="D83" s="41">
        <v>0</v>
      </c>
      <c r="E83" s="251">
        <v>0.60735050165349558</v>
      </c>
      <c r="F83" s="252">
        <v>44.3</v>
      </c>
      <c r="G83" s="41">
        <v>0</v>
      </c>
      <c r="H83" s="41">
        <v>261452</v>
      </c>
      <c r="I83" s="41">
        <v>105</v>
      </c>
      <c r="J83" s="252">
        <v>925.67639600000007</v>
      </c>
      <c r="K83" s="252">
        <v>9359.9999999999982</v>
      </c>
      <c r="L83" s="252">
        <v>6056.2079999999996</v>
      </c>
      <c r="M83" s="252">
        <v>4594.7</v>
      </c>
      <c r="N83" s="125">
        <v>108721</v>
      </c>
      <c r="O83" s="41"/>
      <c r="P83" s="250" t="s">
        <v>84</v>
      </c>
      <c r="Q83" s="10" t="s">
        <v>303</v>
      </c>
      <c r="R83" s="41">
        <v>89</v>
      </c>
      <c r="S83" s="252">
        <v>175</v>
      </c>
      <c r="T83" s="41">
        <v>128277</v>
      </c>
      <c r="U83" s="41">
        <v>1631</v>
      </c>
      <c r="V83" s="252">
        <v>2026.4</v>
      </c>
      <c r="W83" s="41">
        <v>18833</v>
      </c>
      <c r="X83" s="41">
        <v>2820</v>
      </c>
      <c r="Y83" s="252">
        <v>10784.2</v>
      </c>
      <c r="Z83" s="41">
        <v>56532</v>
      </c>
      <c r="AA83" s="41">
        <v>203642</v>
      </c>
      <c r="AB83" s="41">
        <v>573815</v>
      </c>
      <c r="AC83" s="125">
        <v>173884</v>
      </c>
    </row>
    <row r="84" spans="1:29" ht="15" customHeight="1" x14ac:dyDescent="0.2">
      <c r="A84" s="250" t="s">
        <v>85</v>
      </c>
      <c r="B84" s="10" t="s">
        <v>306</v>
      </c>
      <c r="C84" s="41">
        <v>1430</v>
      </c>
      <c r="D84" s="41">
        <v>0</v>
      </c>
      <c r="E84" s="251">
        <v>0.63492729292062466</v>
      </c>
      <c r="F84" s="252">
        <v>907.9</v>
      </c>
      <c r="G84" s="41">
        <v>0</v>
      </c>
      <c r="H84" s="41">
        <v>5358285</v>
      </c>
      <c r="I84" s="41">
        <v>1400</v>
      </c>
      <c r="J84" s="252">
        <v>21996.014238000003</v>
      </c>
      <c r="K84" s="252">
        <v>153940.49999996999</v>
      </c>
      <c r="L84" s="252">
        <v>66549.482199983962</v>
      </c>
      <c r="M84" s="252">
        <v>88545.5</v>
      </c>
      <c r="N84" s="125">
        <v>2095188</v>
      </c>
      <c r="O84" s="41"/>
      <c r="P84" s="250" t="s">
        <v>85</v>
      </c>
      <c r="Q84" s="10" t="s">
        <v>306</v>
      </c>
      <c r="R84" s="41">
        <v>893</v>
      </c>
      <c r="S84" s="252">
        <v>1846.3</v>
      </c>
      <c r="T84" s="41">
        <v>1353363</v>
      </c>
      <c r="U84" s="41">
        <v>8974</v>
      </c>
      <c r="V84" s="252">
        <v>10992.4</v>
      </c>
      <c r="W84" s="41">
        <v>102161</v>
      </c>
      <c r="X84" s="41">
        <v>45538.561412020419</v>
      </c>
      <c r="Y84" s="252">
        <v>86532.800000000003</v>
      </c>
      <c r="Z84" s="41">
        <v>453611</v>
      </c>
      <c r="AA84" s="41">
        <v>1909135</v>
      </c>
      <c r="AB84" s="41">
        <v>9362608</v>
      </c>
      <c r="AC84" s="125">
        <v>1171032</v>
      </c>
    </row>
    <row r="85" spans="1:29" ht="15" customHeight="1" x14ac:dyDescent="0.2">
      <c r="A85" s="250" t="s">
        <v>86</v>
      </c>
      <c r="B85" s="10" t="s">
        <v>305</v>
      </c>
      <c r="C85" s="41">
        <v>210</v>
      </c>
      <c r="D85" s="41">
        <v>60</v>
      </c>
      <c r="E85" s="251">
        <v>0.99465592819677384</v>
      </c>
      <c r="F85" s="252">
        <v>208.9</v>
      </c>
      <c r="G85" s="41">
        <v>0</v>
      </c>
      <c r="H85" s="41">
        <v>1232895</v>
      </c>
      <c r="I85" s="41">
        <v>104</v>
      </c>
      <c r="J85" s="252">
        <v>4275.4339399999999</v>
      </c>
      <c r="K85" s="252">
        <v>14963.5</v>
      </c>
      <c r="L85" s="252">
        <v>11957.577000000001</v>
      </c>
      <c r="M85" s="252">
        <v>16233</v>
      </c>
      <c r="N85" s="125">
        <v>384110</v>
      </c>
      <c r="O85" s="41"/>
      <c r="P85" s="250" t="s">
        <v>86</v>
      </c>
      <c r="Q85" s="10" t="s">
        <v>305</v>
      </c>
      <c r="R85" s="41">
        <v>74</v>
      </c>
      <c r="S85" s="252">
        <v>238.6</v>
      </c>
      <c r="T85" s="41">
        <v>174897</v>
      </c>
      <c r="U85" s="41">
        <v>2224</v>
      </c>
      <c r="V85" s="252">
        <v>2668.8</v>
      </c>
      <c r="W85" s="41">
        <v>24803</v>
      </c>
      <c r="X85" s="41">
        <v>5080</v>
      </c>
      <c r="Y85" s="252">
        <v>9080.1</v>
      </c>
      <c r="Z85" s="41">
        <v>47598</v>
      </c>
      <c r="AA85" s="41">
        <v>247298</v>
      </c>
      <c r="AB85" s="41">
        <v>1864303</v>
      </c>
      <c r="AC85" s="125">
        <v>91633</v>
      </c>
    </row>
    <row r="86" spans="1:29" ht="15" customHeight="1" x14ac:dyDescent="0.2">
      <c r="A86" s="250" t="s">
        <v>165</v>
      </c>
      <c r="B86" s="10" t="s">
        <v>304</v>
      </c>
      <c r="C86" s="41">
        <v>13</v>
      </c>
      <c r="D86" s="41">
        <v>5</v>
      </c>
      <c r="E86" s="251">
        <v>0.45127704141743613</v>
      </c>
      <c r="F86" s="252">
        <v>5.9</v>
      </c>
      <c r="G86" s="41">
        <v>0</v>
      </c>
      <c r="H86" s="41">
        <v>34821</v>
      </c>
      <c r="I86" s="41">
        <v>0</v>
      </c>
      <c r="J86" s="252">
        <v>0</v>
      </c>
      <c r="K86" s="252">
        <v>0</v>
      </c>
      <c r="L86" s="252">
        <v>0</v>
      </c>
      <c r="M86" s="252">
        <v>0</v>
      </c>
      <c r="N86" s="125">
        <v>0</v>
      </c>
      <c r="O86" s="41"/>
      <c r="P86" s="250" t="s">
        <v>165</v>
      </c>
      <c r="Q86" s="10" t="s">
        <v>304</v>
      </c>
      <c r="R86" s="41">
        <v>0</v>
      </c>
      <c r="S86" s="252">
        <v>0</v>
      </c>
      <c r="T86" s="41">
        <v>0</v>
      </c>
      <c r="U86" s="41">
        <v>0</v>
      </c>
      <c r="V86" s="252">
        <v>0</v>
      </c>
      <c r="W86" s="41">
        <v>0</v>
      </c>
      <c r="X86" s="41">
        <v>0</v>
      </c>
      <c r="Y86" s="252">
        <v>0</v>
      </c>
      <c r="Z86" s="41">
        <v>0</v>
      </c>
      <c r="AA86" s="41">
        <v>0</v>
      </c>
      <c r="AB86" s="41">
        <v>34821</v>
      </c>
      <c r="AC86" s="125">
        <v>0</v>
      </c>
    </row>
    <row r="87" spans="1:29" ht="15" customHeight="1" x14ac:dyDescent="0.2">
      <c r="A87" s="250" t="s">
        <v>174</v>
      </c>
      <c r="B87" s="10" t="s">
        <v>302</v>
      </c>
      <c r="C87" s="41">
        <v>0</v>
      </c>
      <c r="D87" s="41">
        <v>0</v>
      </c>
      <c r="E87" s="251">
        <v>0</v>
      </c>
      <c r="F87" s="252">
        <v>0</v>
      </c>
      <c r="G87" s="41">
        <v>0</v>
      </c>
      <c r="H87" s="41">
        <v>0</v>
      </c>
      <c r="I87" s="41">
        <v>0</v>
      </c>
      <c r="J87" s="252">
        <v>0</v>
      </c>
      <c r="K87" s="252">
        <v>0</v>
      </c>
      <c r="L87" s="252">
        <v>0</v>
      </c>
      <c r="M87" s="252">
        <v>0</v>
      </c>
      <c r="N87" s="125">
        <v>0</v>
      </c>
      <c r="O87" s="41"/>
      <c r="P87" s="250" t="s">
        <v>174</v>
      </c>
      <c r="Q87" s="10" t="s">
        <v>302</v>
      </c>
      <c r="R87" s="41">
        <v>0</v>
      </c>
      <c r="S87" s="252">
        <v>0</v>
      </c>
      <c r="T87" s="41">
        <v>0</v>
      </c>
      <c r="U87" s="41">
        <v>0</v>
      </c>
      <c r="V87" s="252">
        <v>0</v>
      </c>
      <c r="W87" s="41">
        <v>0</v>
      </c>
      <c r="X87" s="41">
        <v>0</v>
      </c>
      <c r="Y87" s="252">
        <v>0</v>
      </c>
      <c r="Z87" s="41">
        <v>0</v>
      </c>
      <c r="AA87" s="41">
        <v>0</v>
      </c>
      <c r="AB87" s="41">
        <v>0</v>
      </c>
      <c r="AC87" s="125">
        <v>0</v>
      </c>
    </row>
    <row r="88" spans="1:29" ht="15" customHeight="1" x14ac:dyDescent="0.2">
      <c r="A88" s="250" t="s">
        <v>183</v>
      </c>
      <c r="B88" s="10" t="s">
        <v>301</v>
      </c>
      <c r="C88" s="41">
        <v>0</v>
      </c>
      <c r="D88" s="41">
        <v>0</v>
      </c>
      <c r="E88" s="251">
        <v>0.43000000000000005</v>
      </c>
      <c r="F88" s="252">
        <v>0</v>
      </c>
      <c r="G88" s="41">
        <v>0</v>
      </c>
      <c r="H88" s="41">
        <v>0</v>
      </c>
      <c r="I88" s="41">
        <v>0</v>
      </c>
      <c r="J88" s="252">
        <v>0</v>
      </c>
      <c r="K88" s="252">
        <v>0</v>
      </c>
      <c r="L88" s="252">
        <v>0</v>
      </c>
      <c r="M88" s="252">
        <v>0</v>
      </c>
      <c r="N88" s="125">
        <v>0</v>
      </c>
      <c r="O88" s="41"/>
      <c r="P88" s="250" t="s">
        <v>183</v>
      </c>
      <c r="Q88" s="10" t="s">
        <v>301</v>
      </c>
      <c r="R88" s="41">
        <v>0</v>
      </c>
      <c r="S88" s="252">
        <v>0</v>
      </c>
      <c r="T88" s="41">
        <v>0</v>
      </c>
      <c r="U88" s="41">
        <v>0</v>
      </c>
      <c r="V88" s="252">
        <v>0</v>
      </c>
      <c r="W88" s="41">
        <v>0</v>
      </c>
      <c r="X88" s="41">
        <v>0</v>
      </c>
      <c r="Y88" s="252">
        <v>0</v>
      </c>
      <c r="Z88" s="41">
        <v>0</v>
      </c>
      <c r="AA88" s="41">
        <v>0</v>
      </c>
      <c r="AB88" s="41">
        <v>0</v>
      </c>
      <c r="AC88" s="125">
        <v>0</v>
      </c>
    </row>
    <row r="89" spans="1:29" ht="15" customHeight="1" x14ac:dyDescent="0.2">
      <c r="A89" s="250" t="s">
        <v>435</v>
      </c>
      <c r="B89" s="10" t="s">
        <v>300</v>
      </c>
      <c r="C89" s="41">
        <v>8</v>
      </c>
      <c r="D89" s="41">
        <v>0</v>
      </c>
      <c r="E89" s="251">
        <v>0.72913043478260864</v>
      </c>
      <c r="F89" s="252">
        <v>5.8</v>
      </c>
      <c r="G89" s="41">
        <v>0</v>
      </c>
      <c r="H89" s="41">
        <v>34231</v>
      </c>
      <c r="I89" s="41">
        <v>0</v>
      </c>
      <c r="J89" s="252">
        <v>0</v>
      </c>
      <c r="K89" s="252">
        <v>0</v>
      </c>
      <c r="L89" s="252">
        <v>0</v>
      </c>
      <c r="M89" s="252">
        <v>0</v>
      </c>
      <c r="N89" s="125">
        <v>0</v>
      </c>
      <c r="O89" s="41"/>
      <c r="P89" s="250" t="s">
        <v>435</v>
      </c>
      <c r="Q89" s="10" t="s">
        <v>300</v>
      </c>
      <c r="R89" s="41">
        <v>0</v>
      </c>
      <c r="S89" s="252">
        <v>0</v>
      </c>
      <c r="T89" s="41">
        <v>0</v>
      </c>
      <c r="U89" s="41">
        <v>0</v>
      </c>
      <c r="V89" s="252">
        <v>0</v>
      </c>
      <c r="W89" s="41">
        <v>0</v>
      </c>
      <c r="X89" s="41">
        <v>0</v>
      </c>
      <c r="Y89" s="252">
        <v>0</v>
      </c>
      <c r="Z89" s="41">
        <v>0</v>
      </c>
      <c r="AA89" s="41">
        <v>0</v>
      </c>
      <c r="AB89" s="41">
        <v>34231</v>
      </c>
      <c r="AC89" s="125">
        <v>15918</v>
      </c>
    </row>
    <row r="90" spans="1:29" ht="15" customHeight="1" x14ac:dyDescent="0.2">
      <c r="A90" s="250" t="s">
        <v>87</v>
      </c>
      <c r="B90" s="10" t="s">
        <v>299</v>
      </c>
      <c r="C90" s="41">
        <v>1202</v>
      </c>
      <c r="D90" s="41">
        <v>26</v>
      </c>
      <c r="E90" s="251">
        <v>1.4297234730666259</v>
      </c>
      <c r="F90" s="252">
        <v>1718.5</v>
      </c>
      <c r="G90" s="41">
        <v>0</v>
      </c>
      <c r="H90" s="41">
        <v>10142321</v>
      </c>
      <c r="I90" s="41">
        <v>441</v>
      </c>
      <c r="J90" s="252">
        <v>24205.372392999998</v>
      </c>
      <c r="K90" s="252">
        <v>88867.5</v>
      </c>
      <c r="L90" s="252">
        <v>98155.006700000013</v>
      </c>
      <c r="M90" s="252">
        <v>122360.4</v>
      </c>
      <c r="N90" s="125">
        <v>2895326</v>
      </c>
      <c r="O90" s="41"/>
      <c r="P90" s="250" t="s">
        <v>87</v>
      </c>
      <c r="Q90" s="10" t="s">
        <v>299</v>
      </c>
      <c r="R90" s="41">
        <v>444</v>
      </c>
      <c r="S90" s="252">
        <v>1446.9</v>
      </c>
      <c r="T90" s="41">
        <v>1060597</v>
      </c>
      <c r="U90" s="41">
        <v>6464</v>
      </c>
      <c r="V90" s="252">
        <v>8124</v>
      </c>
      <c r="W90" s="41">
        <v>75503</v>
      </c>
      <c r="X90" s="41">
        <v>41019.484013840833</v>
      </c>
      <c r="Y90" s="252">
        <v>76145.5</v>
      </c>
      <c r="Z90" s="41">
        <v>399160</v>
      </c>
      <c r="AA90" s="41">
        <v>1535260</v>
      </c>
      <c r="AB90" s="41">
        <v>14572907</v>
      </c>
      <c r="AC90" s="125">
        <v>0</v>
      </c>
    </row>
    <row r="91" spans="1:29" ht="15" customHeight="1" x14ac:dyDescent="0.2">
      <c r="A91" s="250" t="s">
        <v>88</v>
      </c>
      <c r="B91" s="10" t="s">
        <v>298</v>
      </c>
      <c r="C91" s="41">
        <v>43</v>
      </c>
      <c r="D91" s="41">
        <v>0</v>
      </c>
      <c r="E91" s="251">
        <v>1.4901144350926299</v>
      </c>
      <c r="F91" s="252">
        <v>64.099999999999994</v>
      </c>
      <c r="G91" s="41">
        <v>0</v>
      </c>
      <c r="H91" s="41">
        <v>378308</v>
      </c>
      <c r="I91" s="41">
        <v>21</v>
      </c>
      <c r="J91" s="252">
        <v>2146.4978219999998</v>
      </c>
      <c r="K91" s="252">
        <v>4631</v>
      </c>
      <c r="L91" s="252">
        <v>6780.34</v>
      </c>
      <c r="M91" s="252">
        <v>8926.7999999999993</v>
      </c>
      <c r="N91" s="125">
        <v>211228</v>
      </c>
      <c r="O91" s="41"/>
      <c r="P91" s="250" t="s">
        <v>88</v>
      </c>
      <c r="Q91" s="10" t="s">
        <v>298</v>
      </c>
      <c r="R91" s="41">
        <v>10</v>
      </c>
      <c r="S91" s="252">
        <v>30.4</v>
      </c>
      <c r="T91" s="41">
        <v>22284</v>
      </c>
      <c r="U91" s="41">
        <v>423</v>
      </c>
      <c r="V91" s="252">
        <v>423</v>
      </c>
      <c r="W91" s="41">
        <v>3931</v>
      </c>
      <c r="X91" s="41">
        <v>0</v>
      </c>
      <c r="Y91" s="252">
        <v>0</v>
      </c>
      <c r="Z91" s="41">
        <v>0</v>
      </c>
      <c r="AA91" s="41">
        <v>26215</v>
      </c>
      <c r="AB91" s="41">
        <v>615751</v>
      </c>
      <c r="AC91" s="125">
        <v>0</v>
      </c>
    </row>
    <row r="92" spans="1:29" ht="15" customHeight="1" x14ac:dyDescent="0.2">
      <c r="A92" s="250" t="s">
        <v>89</v>
      </c>
      <c r="B92" s="10" t="s">
        <v>297</v>
      </c>
      <c r="C92" s="41">
        <v>6937</v>
      </c>
      <c r="D92" s="41">
        <v>360</v>
      </c>
      <c r="E92" s="251">
        <v>1.0986703842680368</v>
      </c>
      <c r="F92" s="252">
        <v>7621.5</v>
      </c>
      <c r="G92" s="41">
        <v>40000</v>
      </c>
      <c r="H92" s="41">
        <v>45020911</v>
      </c>
      <c r="I92" s="41">
        <v>3274</v>
      </c>
      <c r="J92" s="252">
        <v>169642.5205540001</v>
      </c>
      <c r="K92" s="252">
        <v>449388.50000013004</v>
      </c>
      <c r="L92" s="252">
        <v>444722.4797429266</v>
      </c>
      <c r="M92" s="252">
        <v>614365</v>
      </c>
      <c r="N92" s="125">
        <v>14537275</v>
      </c>
      <c r="O92" s="41"/>
      <c r="P92" s="250" t="s">
        <v>89</v>
      </c>
      <c r="Q92" s="10" t="s">
        <v>297</v>
      </c>
      <c r="R92" s="41">
        <v>2353</v>
      </c>
      <c r="S92" s="252">
        <v>8651.9</v>
      </c>
      <c r="T92" s="41">
        <v>6341960</v>
      </c>
      <c r="U92" s="41">
        <v>55385</v>
      </c>
      <c r="V92" s="252">
        <v>69642.2</v>
      </c>
      <c r="W92" s="41">
        <v>647243</v>
      </c>
      <c r="X92" s="41">
        <v>181239.51181574559</v>
      </c>
      <c r="Y92" s="252">
        <v>382097.7</v>
      </c>
      <c r="Z92" s="41">
        <v>2002982</v>
      </c>
      <c r="AA92" s="41">
        <v>8992185</v>
      </c>
      <c r="AB92" s="41">
        <v>68550371</v>
      </c>
      <c r="AC92" s="125">
        <v>0</v>
      </c>
    </row>
    <row r="93" spans="1:29" ht="15" customHeight="1" x14ac:dyDescent="0.2">
      <c r="A93" s="250" t="s">
        <v>90</v>
      </c>
      <c r="B93" s="10" t="s">
        <v>294</v>
      </c>
      <c r="C93" s="41">
        <v>45</v>
      </c>
      <c r="D93" s="41">
        <v>0</v>
      </c>
      <c r="E93" s="251">
        <v>1.4224469717006045</v>
      </c>
      <c r="F93" s="252">
        <v>64</v>
      </c>
      <c r="G93" s="41">
        <v>0</v>
      </c>
      <c r="H93" s="41">
        <v>377718</v>
      </c>
      <c r="I93" s="41">
        <v>14</v>
      </c>
      <c r="J93" s="252">
        <v>1311.8400000000001</v>
      </c>
      <c r="K93" s="252">
        <v>2892</v>
      </c>
      <c r="L93" s="252">
        <v>3471.92</v>
      </c>
      <c r="M93" s="252">
        <v>4783.8</v>
      </c>
      <c r="N93" s="125">
        <v>113196</v>
      </c>
      <c r="O93" s="41"/>
      <c r="P93" s="250" t="s">
        <v>90</v>
      </c>
      <c r="Q93" s="10" t="s">
        <v>294</v>
      </c>
      <c r="R93" s="41">
        <v>8</v>
      </c>
      <c r="S93" s="252">
        <v>36.6</v>
      </c>
      <c r="T93" s="41">
        <v>26828</v>
      </c>
      <c r="U93" s="41">
        <v>691</v>
      </c>
      <c r="V93" s="252">
        <v>836.5</v>
      </c>
      <c r="W93" s="41">
        <v>7774</v>
      </c>
      <c r="X93" s="41">
        <v>573</v>
      </c>
      <c r="Y93" s="252">
        <v>2031.5</v>
      </c>
      <c r="Z93" s="41">
        <v>10649</v>
      </c>
      <c r="AA93" s="41">
        <v>45251</v>
      </c>
      <c r="AB93" s="41">
        <v>536165</v>
      </c>
      <c r="AC93" s="125">
        <v>43902</v>
      </c>
    </row>
    <row r="94" spans="1:29" ht="15" customHeight="1" x14ac:dyDescent="0.2">
      <c r="A94" s="250" t="s">
        <v>91</v>
      </c>
      <c r="B94" s="10" t="s">
        <v>293</v>
      </c>
      <c r="C94" s="41">
        <v>81</v>
      </c>
      <c r="D94" s="41">
        <v>0</v>
      </c>
      <c r="E94" s="251">
        <v>0.8628134725952854</v>
      </c>
      <c r="F94" s="252">
        <v>69.900000000000006</v>
      </c>
      <c r="G94" s="41">
        <v>0</v>
      </c>
      <c r="H94" s="41">
        <v>412539</v>
      </c>
      <c r="I94" s="41">
        <v>98</v>
      </c>
      <c r="J94" s="252">
        <v>1626.8333379999999</v>
      </c>
      <c r="K94" s="252">
        <v>10320</v>
      </c>
      <c r="L94" s="252">
        <v>9884.8755000000001</v>
      </c>
      <c r="M94" s="252">
        <v>7517.5</v>
      </c>
      <c r="N94" s="125">
        <v>177881</v>
      </c>
      <c r="O94" s="41"/>
      <c r="P94" s="250" t="s">
        <v>91</v>
      </c>
      <c r="Q94" s="10" t="s">
        <v>293</v>
      </c>
      <c r="R94" s="41">
        <v>72</v>
      </c>
      <c r="S94" s="252">
        <v>159.5</v>
      </c>
      <c r="T94" s="41">
        <v>116916</v>
      </c>
      <c r="U94" s="41">
        <v>1019.7534246575343</v>
      </c>
      <c r="V94" s="252">
        <v>1303.4000000000001</v>
      </c>
      <c r="W94" s="41">
        <v>12114</v>
      </c>
      <c r="X94" s="41">
        <v>2172.6153846153848</v>
      </c>
      <c r="Y94" s="252">
        <v>3101.5</v>
      </c>
      <c r="Z94" s="41">
        <v>16258</v>
      </c>
      <c r="AA94" s="41">
        <v>145288</v>
      </c>
      <c r="AB94" s="41">
        <v>735708</v>
      </c>
      <c r="AC94" s="125">
        <v>36566</v>
      </c>
    </row>
    <row r="95" spans="1:29" ht="15" customHeight="1" x14ac:dyDescent="0.2">
      <c r="A95" s="250" t="s">
        <v>92</v>
      </c>
      <c r="B95" s="10" t="s">
        <v>292</v>
      </c>
      <c r="C95" s="41">
        <v>67</v>
      </c>
      <c r="D95" s="41">
        <v>0</v>
      </c>
      <c r="E95" s="251">
        <v>0.82606925621201321</v>
      </c>
      <c r="F95" s="252">
        <v>55.3</v>
      </c>
      <c r="G95" s="41">
        <v>0</v>
      </c>
      <c r="H95" s="41">
        <v>326372</v>
      </c>
      <c r="I95" s="41">
        <v>79</v>
      </c>
      <c r="J95" s="252">
        <v>1335.8725449999999</v>
      </c>
      <c r="K95" s="252">
        <v>7440</v>
      </c>
      <c r="L95" s="252">
        <v>5927.8635000000004</v>
      </c>
      <c r="M95" s="252">
        <v>5545.2</v>
      </c>
      <c r="N95" s="125">
        <v>131212</v>
      </c>
      <c r="O95" s="41"/>
      <c r="P95" s="250" t="s">
        <v>92</v>
      </c>
      <c r="Q95" s="10" t="s">
        <v>292</v>
      </c>
      <c r="R95" s="41">
        <v>89</v>
      </c>
      <c r="S95" s="252">
        <v>206.4</v>
      </c>
      <c r="T95" s="41">
        <v>151294</v>
      </c>
      <c r="U95" s="41">
        <v>1294</v>
      </c>
      <c r="V95" s="252">
        <v>1542.8</v>
      </c>
      <c r="W95" s="41">
        <v>14339</v>
      </c>
      <c r="X95" s="41">
        <v>2391.5357142857142</v>
      </c>
      <c r="Y95" s="252">
        <v>9188.4</v>
      </c>
      <c r="Z95" s="41">
        <v>48166</v>
      </c>
      <c r="AA95" s="41">
        <v>213799</v>
      </c>
      <c r="AB95" s="41">
        <v>671383</v>
      </c>
      <c r="AC95" s="125">
        <v>22453</v>
      </c>
    </row>
    <row r="96" spans="1:29" ht="15" customHeight="1" x14ac:dyDescent="0.2">
      <c r="A96" s="250" t="s">
        <v>93</v>
      </c>
      <c r="B96" s="10" t="s">
        <v>291</v>
      </c>
      <c r="C96" s="41">
        <v>994</v>
      </c>
      <c r="D96" s="41">
        <v>15</v>
      </c>
      <c r="E96" s="251">
        <v>1.2494573366780208</v>
      </c>
      <c r="F96" s="252">
        <v>1242</v>
      </c>
      <c r="G96" s="41">
        <v>25000</v>
      </c>
      <c r="H96" s="41">
        <v>7355091</v>
      </c>
      <c r="I96" s="41">
        <v>424</v>
      </c>
      <c r="J96" s="252">
        <v>21617.624268999996</v>
      </c>
      <c r="K96" s="252">
        <v>72065.2</v>
      </c>
      <c r="L96" s="252">
        <v>79320.547500000015</v>
      </c>
      <c r="M96" s="252">
        <v>100938.2</v>
      </c>
      <c r="N96" s="125">
        <v>2388428</v>
      </c>
      <c r="O96" s="41"/>
      <c r="P96" s="250" t="s">
        <v>93</v>
      </c>
      <c r="Q96" s="10" t="s">
        <v>291</v>
      </c>
      <c r="R96" s="41">
        <v>227</v>
      </c>
      <c r="S96" s="252">
        <v>748.7</v>
      </c>
      <c r="T96" s="41">
        <v>548807</v>
      </c>
      <c r="U96" s="41">
        <v>5460</v>
      </c>
      <c r="V96" s="252">
        <v>6804</v>
      </c>
      <c r="W96" s="41">
        <v>63235</v>
      </c>
      <c r="X96" s="41">
        <v>8839.8580559597704</v>
      </c>
      <c r="Y96" s="252">
        <v>24319.1</v>
      </c>
      <c r="Z96" s="41">
        <v>127482</v>
      </c>
      <c r="AA96" s="41">
        <v>739524</v>
      </c>
      <c r="AB96" s="41">
        <v>10483043</v>
      </c>
      <c r="AC96" s="125">
        <v>0</v>
      </c>
    </row>
    <row r="97" spans="1:29" ht="15" customHeight="1" x14ac:dyDescent="0.2">
      <c r="A97" s="250" t="s">
        <v>94</v>
      </c>
      <c r="B97" s="10" t="s">
        <v>290</v>
      </c>
      <c r="C97" s="41">
        <v>1427</v>
      </c>
      <c r="D97" s="41">
        <v>15</v>
      </c>
      <c r="E97" s="251">
        <v>0.87658779817634946</v>
      </c>
      <c r="F97" s="252">
        <v>1250.9000000000001</v>
      </c>
      <c r="G97" s="41">
        <v>55000</v>
      </c>
      <c r="H97" s="41">
        <v>7437618</v>
      </c>
      <c r="I97" s="41">
        <v>597</v>
      </c>
      <c r="J97" s="252">
        <v>30443.496389999997</v>
      </c>
      <c r="K97" s="252">
        <v>120342.5</v>
      </c>
      <c r="L97" s="252">
        <v>97130.254000000001</v>
      </c>
      <c r="M97" s="252">
        <v>127573.8</v>
      </c>
      <c r="N97" s="125">
        <v>3018687</v>
      </c>
      <c r="O97" s="41"/>
      <c r="P97" s="250" t="s">
        <v>94</v>
      </c>
      <c r="Q97" s="10" t="s">
        <v>290</v>
      </c>
      <c r="R97" s="41">
        <v>460</v>
      </c>
      <c r="S97" s="252">
        <v>1573.2</v>
      </c>
      <c r="T97" s="41">
        <v>1153177</v>
      </c>
      <c r="U97" s="41">
        <v>14425</v>
      </c>
      <c r="V97" s="252">
        <v>15761.6</v>
      </c>
      <c r="W97" s="41">
        <v>146486</v>
      </c>
      <c r="X97" s="41">
        <v>53251.159161542026</v>
      </c>
      <c r="Y97" s="252">
        <v>106270.6</v>
      </c>
      <c r="Z97" s="41">
        <v>557078</v>
      </c>
      <c r="AA97" s="41">
        <v>1856741</v>
      </c>
      <c r="AB97" s="41">
        <v>12313046</v>
      </c>
      <c r="AC97" s="125">
        <v>716010</v>
      </c>
    </row>
    <row r="98" spans="1:29" ht="15" customHeight="1" x14ac:dyDescent="0.2">
      <c r="A98" s="250" t="s">
        <v>95</v>
      </c>
      <c r="B98" s="10" t="s">
        <v>289</v>
      </c>
      <c r="C98" s="41">
        <v>67</v>
      </c>
      <c r="D98" s="41">
        <v>0</v>
      </c>
      <c r="E98" s="251">
        <v>1.0316506952024784</v>
      </c>
      <c r="F98" s="252">
        <v>69.099999999999994</v>
      </c>
      <c r="G98" s="41">
        <v>5000</v>
      </c>
      <c r="H98" s="41">
        <v>412817</v>
      </c>
      <c r="I98" s="41">
        <v>28</v>
      </c>
      <c r="J98" s="252">
        <v>1266.652664</v>
      </c>
      <c r="K98" s="252">
        <v>6291.5</v>
      </c>
      <c r="L98" s="252">
        <v>5874.2965000000004</v>
      </c>
      <c r="M98" s="252">
        <v>7140.9</v>
      </c>
      <c r="N98" s="125">
        <v>168970</v>
      </c>
      <c r="O98" s="41"/>
      <c r="P98" s="250" t="s">
        <v>95</v>
      </c>
      <c r="Q98" s="10" t="s">
        <v>289</v>
      </c>
      <c r="R98" s="41">
        <v>14</v>
      </c>
      <c r="S98" s="252">
        <v>57.8</v>
      </c>
      <c r="T98" s="41">
        <v>42368</v>
      </c>
      <c r="U98" s="41">
        <v>270</v>
      </c>
      <c r="V98" s="252">
        <v>345.6</v>
      </c>
      <c r="W98" s="41">
        <v>3212</v>
      </c>
      <c r="X98" s="41">
        <v>885</v>
      </c>
      <c r="Y98" s="252">
        <v>3398.8</v>
      </c>
      <c r="Z98" s="41">
        <v>17817</v>
      </c>
      <c r="AA98" s="41">
        <v>63397</v>
      </c>
      <c r="AB98" s="41">
        <v>645184</v>
      </c>
      <c r="AC98" s="125">
        <v>62433</v>
      </c>
    </row>
    <row r="99" spans="1:29" ht="15" customHeight="1" x14ac:dyDescent="0.2">
      <c r="A99" s="250" t="s">
        <v>96</v>
      </c>
      <c r="B99" s="10" t="s">
        <v>296</v>
      </c>
      <c r="C99" s="41">
        <v>5174</v>
      </c>
      <c r="D99" s="41">
        <v>220</v>
      </c>
      <c r="E99" s="251">
        <v>1.1242438378474162</v>
      </c>
      <c r="F99" s="252">
        <v>5816.8</v>
      </c>
      <c r="G99" s="41">
        <v>0</v>
      </c>
      <c r="H99" s="41">
        <v>34329852</v>
      </c>
      <c r="I99" s="41">
        <v>2108</v>
      </c>
      <c r="J99" s="252">
        <v>108909.16604799991</v>
      </c>
      <c r="K99" s="252">
        <v>362628.35714273999</v>
      </c>
      <c r="L99" s="252">
        <v>368118.55681422912</v>
      </c>
      <c r="M99" s="252">
        <v>477027.7</v>
      </c>
      <c r="N99" s="125">
        <v>11287561</v>
      </c>
      <c r="O99" s="41"/>
      <c r="P99" s="250" t="s">
        <v>96</v>
      </c>
      <c r="Q99" s="10" t="s">
        <v>296</v>
      </c>
      <c r="R99" s="41">
        <v>1459</v>
      </c>
      <c r="S99" s="252">
        <v>5744.9</v>
      </c>
      <c r="T99" s="41">
        <v>4211089</v>
      </c>
      <c r="U99" s="41">
        <v>29577.267123287671</v>
      </c>
      <c r="V99" s="252">
        <v>37804.199999999997</v>
      </c>
      <c r="W99" s="41">
        <v>351346</v>
      </c>
      <c r="X99" s="41">
        <v>95990.282037652898</v>
      </c>
      <c r="Y99" s="252">
        <v>200140.5</v>
      </c>
      <c r="Z99" s="41">
        <v>1049150</v>
      </c>
      <c r="AA99" s="41">
        <v>5611585</v>
      </c>
      <c r="AB99" s="41">
        <v>51228998</v>
      </c>
      <c r="AC99" s="125">
        <v>0</v>
      </c>
    </row>
    <row r="100" spans="1:29" ht="15" customHeight="1" x14ac:dyDescent="0.2">
      <c r="A100" s="250" t="s">
        <v>97</v>
      </c>
      <c r="B100" s="10" t="s">
        <v>286</v>
      </c>
      <c r="C100" s="41">
        <v>117</v>
      </c>
      <c r="D100" s="41">
        <v>0</v>
      </c>
      <c r="E100" s="251">
        <v>0.93589573449242791</v>
      </c>
      <c r="F100" s="252">
        <v>109.5</v>
      </c>
      <c r="G100" s="41">
        <v>0</v>
      </c>
      <c r="H100" s="41">
        <v>646252</v>
      </c>
      <c r="I100" s="41">
        <v>80</v>
      </c>
      <c r="J100" s="252">
        <v>2300.2230989999998</v>
      </c>
      <c r="K100" s="252">
        <v>9962.5</v>
      </c>
      <c r="L100" s="252">
        <v>8000.8275000000012</v>
      </c>
      <c r="M100" s="252">
        <v>10301.1</v>
      </c>
      <c r="N100" s="125">
        <v>243747</v>
      </c>
      <c r="O100" s="41"/>
      <c r="P100" s="250" t="s">
        <v>97</v>
      </c>
      <c r="Q100" s="10" t="s">
        <v>286</v>
      </c>
      <c r="R100" s="41">
        <v>51</v>
      </c>
      <c r="S100" s="252">
        <v>162.1</v>
      </c>
      <c r="T100" s="41">
        <v>118821</v>
      </c>
      <c r="U100" s="41">
        <v>1591.8829787234042</v>
      </c>
      <c r="V100" s="252">
        <v>2036.5</v>
      </c>
      <c r="W100" s="41">
        <v>18927</v>
      </c>
      <c r="X100" s="41">
        <v>121</v>
      </c>
      <c r="Y100" s="252">
        <v>148.30000000000001</v>
      </c>
      <c r="Z100" s="41">
        <v>777</v>
      </c>
      <c r="AA100" s="41">
        <v>138525</v>
      </c>
      <c r="AB100" s="41">
        <v>1028524</v>
      </c>
      <c r="AC100" s="125">
        <v>53995</v>
      </c>
    </row>
    <row r="101" spans="1:29" ht="15" customHeight="1" x14ac:dyDescent="0.2">
      <c r="A101" s="250" t="s">
        <v>98</v>
      </c>
      <c r="B101" s="10" t="s">
        <v>285</v>
      </c>
      <c r="C101" s="41">
        <v>52</v>
      </c>
      <c r="D101" s="41">
        <v>0</v>
      </c>
      <c r="E101" s="251">
        <v>1.0639095809850525</v>
      </c>
      <c r="F101" s="252">
        <v>55.3</v>
      </c>
      <c r="G101" s="41">
        <v>0</v>
      </c>
      <c r="H101" s="41">
        <v>326372</v>
      </c>
      <c r="I101" s="41">
        <v>17</v>
      </c>
      <c r="J101" s="252">
        <v>838.61947799999996</v>
      </c>
      <c r="K101" s="252">
        <v>2444</v>
      </c>
      <c r="L101" s="252">
        <v>2437.5899999999997</v>
      </c>
      <c r="M101" s="252">
        <v>3276.2</v>
      </c>
      <c r="N101" s="125">
        <v>77522</v>
      </c>
      <c r="O101" s="41"/>
      <c r="P101" s="250" t="s">
        <v>98</v>
      </c>
      <c r="Q101" s="10" t="s">
        <v>285</v>
      </c>
      <c r="R101" s="41">
        <v>22</v>
      </c>
      <c r="S101" s="252">
        <v>77.7</v>
      </c>
      <c r="T101" s="41">
        <v>56955</v>
      </c>
      <c r="U101" s="41">
        <v>442</v>
      </c>
      <c r="V101" s="252">
        <v>460.4</v>
      </c>
      <c r="W101" s="41">
        <v>4279</v>
      </c>
      <c r="X101" s="41">
        <v>737</v>
      </c>
      <c r="Y101" s="252">
        <v>2825.2</v>
      </c>
      <c r="Z101" s="41">
        <v>14810</v>
      </c>
      <c r="AA101" s="41">
        <v>76044</v>
      </c>
      <c r="AB101" s="41">
        <v>479938</v>
      </c>
      <c r="AC101" s="125">
        <v>32805</v>
      </c>
    </row>
    <row r="102" spans="1:29" ht="15" customHeight="1" x14ac:dyDescent="0.2">
      <c r="A102" s="250" t="s">
        <v>99</v>
      </c>
      <c r="B102" s="10" t="s">
        <v>284</v>
      </c>
      <c r="C102" s="41">
        <v>269</v>
      </c>
      <c r="D102" s="41">
        <v>65</v>
      </c>
      <c r="E102" s="251">
        <v>0.75260764402550007</v>
      </c>
      <c r="F102" s="252">
        <v>202.5</v>
      </c>
      <c r="G102" s="41">
        <v>0</v>
      </c>
      <c r="H102" s="41">
        <v>1195124</v>
      </c>
      <c r="I102" s="41">
        <v>169</v>
      </c>
      <c r="J102" s="252">
        <v>2994.4215540000005</v>
      </c>
      <c r="K102" s="252">
        <v>22595</v>
      </c>
      <c r="L102" s="252">
        <v>12877.788</v>
      </c>
      <c r="M102" s="252">
        <v>15872.2</v>
      </c>
      <c r="N102" s="125">
        <v>375572</v>
      </c>
      <c r="O102" s="41"/>
      <c r="P102" s="250" t="s">
        <v>99</v>
      </c>
      <c r="Q102" s="10" t="s">
        <v>284</v>
      </c>
      <c r="R102" s="41">
        <v>103</v>
      </c>
      <c r="S102" s="252">
        <v>292.8</v>
      </c>
      <c r="T102" s="41">
        <v>214626</v>
      </c>
      <c r="U102" s="41">
        <v>3353.8762376237623</v>
      </c>
      <c r="V102" s="252">
        <v>4293.2</v>
      </c>
      <c r="W102" s="41">
        <v>39900</v>
      </c>
      <c r="X102" s="41">
        <v>6185.5428722420402</v>
      </c>
      <c r="Y102" s="252">
        <v>14809.7</v>
      </c>
      <c r="Z102" s="41">
        <v>77633</v>
      </c>
      <c r="AA102" s="41">
        <v>332159</v>
      </c>
      <c r="AB102" s="41">
        <v>1902855</v>
      </c>
      <c r="AC102" s="125">
        <v>50352</v>
      </c>
    </row>
    <row r="103" spans="1:29" ht="15" customHeight="1" x14ac:dyDescent="0.2">
      <c r="A103" s="250" t="s">
        <v>100</v>
      </c>
      <c r="B103" s="10" t="s">
        <v>288</v>
      </c>
      <c r="C103" s="41">
        <v>118</v>
      </c>
      <c r="D103" s="41">
        <v>0</v>
      </c>
      <c r="E103" s="251">
        <v>1.5614093964726008</v>
      </c>
      <c r="F103" s="252">
        <v>184.2</v>
      </c>
      <c r="G103" s="41">
        <v>0</v>
      </c>
      <c r="H103" s="41">
        <v>1087120</v>
      </c>
      <c r="I103" s="41">
        <v>59</v>
      </c>
      <c r="J103" s="252">
        <v>6153.2936280000004</v>
      </c>
      <c r="K103" s="252">
        <v>7233</v>
      </c>
      <c r="L103" s="252">
        <v>10687.9</v>
      </c>
      <c r="M103" s="252">
        <v>16841.2</v>
      </c>
      <c r="N103" s="125">
        <v>398501</v>
      </c>
      <c r="O103" s="41"/>
      <c r="P103" s="250" t="s">
        <v>100</v>
      </c>
      <c r="Q103" s="10" t="s">
        <v>288</v>
      </c>
      <c r="R103" s="41">
        <v>53</v>
      </c>
      <c r="S103" s="252">
        <v>165.3</v>
      </c>
      <c r="T103" s="41">
        <v>121167</v>
      </c>
      <c r="U103" s="41">
        <v>987</v>
      </c>
      <c r="V103" s="252">
        <v>1061.5</v>
      </c>
      <c r="W103" s="41">
        <v>9865</v>
      </c>
      <c r="X103" s="41">
        <v>1164</v>
      </c>
      <c r="Y103" s="252">
        <v>4472.3999999999996</v>
      </c>
      <c r="Z103" s="41">
        <v>23445</v>
      </c>
      <c r="AA103" s="41">
        <v>154477</v>
      </c>
      <c r="AB103" s="41">
        <v>1640098</v>
      </c>
      <c r="AC103" s="125">
        <v>38366</v>
      </c>
    </row>
    <row r="104" spans="1:29" ht="15" customHeight="1" x14ac:dyDescent="0.2">
      <c r="A104" s="250" t="s">
        <v>101</v>
      </c>
      <c r="B104" s="10" t="s">
        <v>287</v>
      </c>
      <c r="C104" s="41">
        <v>77</v>
      </c>
      <c r="D104" s="41">
        <v>0</v>
      </c>
      <c r="E104" s="251">
        <v>1.0794820259931797</v>
      </c>
      <c r="F104" s="252">
        <v>83.1</v>
      </c>
      <c r="G104" s="41">
        <v>0</v>
      </c>
      <c r="H104" s="41">
        <v>490443</v>
      </c>
      <c r="I104" s="41">
        <v>45</v>
      </c>
      <c r="J104" s="252">
        <v>1309.5742580000001</v>
      </c>
      <c r="K104" s="252">
        <v>9113</v>
      </c>
      <c r="L104" s="252">
        <v>7333.7725</v>
      </c>
      <c r="M104" s="252">
        <v>8643.2999999999993</v>
      </c>
      <c r="N104" s="125">
        <v>204520</v>
      </c>
      <c r="O104" s="41"/>
      <c r="P104" s="250" t="s">
        <v>101</v>
      </c>
      <c r="Q104" s="10" t="s">
        <v>287</v>
      </c>
      <c r="R104" s="41">
        <v>27</v>
      </c>
      <c r="S104" s="252">
        <v>105.1</v>
      </c>
      <c r="T104" s="41">
        <v>77040</v>
      </c>
      <c r="U104" s="41">
        <v>569</v>
      </c>
      <c r="V104" s="252">
        <v>569</v>
      </c>
      <c r="W104" s="41">
        <v>5288</v>
      </c>
      <c r="X104" s="41">
        <v>1396</v>
      </c>
      <c r="Y104" s="252">
        <v>5154.5</v>
      </c>
      <c r="Z104" s="41">
        <v>27020</v>
      </c>
      <c r="AA104" s="41">
        <v>109348</v>
      </c>
      <c r="AB104" s="41">
        <v>804311</v>
      </c>
      <c r="AC104" s="125">
        <v>28996</v>
      </c>
    </row>
    <row r="105" spans="1:29" ht="15" customHeight="1" x14ac:dyDescent="0.2">
      <c r="A105" s="250" t="s">
        <v>102</v>
      </c>
      <c r="B105" s="10" t="s">
        <v>283</v>
      </c>
      <c r="C105" s="41">
        <v>1047</v>
      </c>
      <c r="D105" s="41">
        <v>75</v>
      </c>
      <c r="E105" s="251">
        <v>1.1660982846317722</v>
      </c>
      <c r="F105" s="252">
        <v>1220.9000000000001</v>
      </c>
      <c r="G105" s="41">
        <v>0</v>
      </c>
      <c r="H105" s="41">
        <v>7205563</v>
      </c>
      <c r="I105" s="41">
        <v>380</v>
      </c>
      <c r="J105" s="252">
        <v>20823.762755000003</v>
      </c>
      <c r="K105" s="252">
        <v>69955.642857069994</v>
      </c>
      <c r="L105" s="252">
        <v>70827.374685665898</v>
      </c>
      <c r="M105" s="252">
        <v>91651.1</v>
      </c>
      <c r="N105" s="125">
        <v>2168674</v>
      </c>
      <c r="O105" s="41"/>
      <c r="P105" s="250" t="s">
        <v>102</v>
      </c>
      <c r="Q105" s="10" t="s">
        <v>283</v>
      </c>
      <c r="R105" s="41">
        <v>207</v>
      </c>
      <c r="S105" s="252">
        <v>876.6</v>
      </c>
      <c r="T105" s="41">
        <v>642560</v>
      </c>
      <c r="U105" s="41">
        <v>7910</v>
      </c>
      <c r="V105" s="252">
        <v>10112.4</v>
      </c>
      <c r="W105" s="41">
        <v>93983</v>
      </c>
      <c r="X105" s="41">
        <v>21949.277731568996</v>
      </c>
      <c r="Y105" s="252">
        <v>42879.3</v>
      </c>
      <c r="Z105" s="41">
        <v>224776</v>
      </c>
      <c r="AA105" s="41">
        <v>961319</v>
      </c>
      <c r="AB105" s="41">
        <v>10335556</v>
      </c>
      <c r="AC105" s="125">
        <v>0</v>
      </c>
    </row>
    <row r="106" spans="1:29" ht="15" customHeight="1" x14ac:dyDescent="0.2">
      <c r="A106" s="250" t="s">
        <v>103</v>
      </c>
      <c r="B106" s="10" t="s">
        <v>282</v>
      </c>
      <c r="C106" s="41">
        <v>199</v>
      </c>
      <c r="D106" s="41">
        <v>0</v>
      </c>
      <c r="E106" s="251">
        <v>0.84164723696783261</v>
      </c>
      <c r="F106" s="252">
        <v>167.5</v>
      </c>
      <c r="G106" s="41">
        <v>0</v>
      </c>
      <c r="H106" s="41">
        <v>988559</v>
      </c>
      <c r="I106" s="41">
        <v>47</v>
      </c>
      <c r="J106" s="252">
        <v>2069.16732</v>
      </c>
      <c r="K106" s="252">
        <v>8526</v>
      </c>
      <c r="L106" s="252">
        <v>7021.0399999999991</v>
      </c>
      <c r="M106" s="252">
        <v>9090.2000000000007</v>
      </c>
      <c r="N106" s="125">
        <v>215095</v>
      </c>
      <c r="O106" s="41"/>
      <c r="P106" s="250" t="s">
        <v>103</v>
      </c>
      <c r="Q106" s="10" t="s">
        <v>282</v>
      </c>
      <c r="R106" s="41">
        <v>49</v>
      </c>
      <c r="S106" s="252">
        <v>213.3</v>
      </c>
      <c r="T106" s="41">
        <v>156352</v>
      </c>
      <c r="U106" s="41">
        <v>1207</v>
      </c>
      <c r="V106" s="252">
        <v>1501.5</v>
      </c>
      <c r="W106" s="41">
        <v>13955</v>
      </c>
      <c r="X106" s="41">
        <v>59</v>
      </c>
      <c r="Y106" s="252">
        <v>59</v>
      </c>
      <c r="Z106" s="41">
        <v>309</v>
      </c>
      <c r="AA106" s="41">
        <v>170616</v>
      </c>
      <c r="AB106" s="41">
        <v>1374270</v>
      </c>
      <c r="AC106" s="125">
        <v>48274</v>
      </c>
    </row>
    <row r="107" spans="1:29" ht="15" customHeight="1" x14ac:dyDescent="0.2">
      <c r="A107" s="250" t="s">
        <v>104</v>
      </c>
      <c r="B107" s="10" t="s">
        <v>281</v>
      </c>
      <c r="C107" s="41">
        <v>1815</v>
      </c>
      <c r="D107" s="41">
        <v>105</v>
      </c>
      <c r="E107" s="251">
        <v>0.91357625423392397</v>
      </c>
      <c r="F107" s="252">
        <v>1658.1</v>
      </c>
      <c r="G107" s="41">
        <v>80000</v>
      </c>
      <c r="H107" s="41">
        <v>9865849</v>
      </c>
      <c r="I107" s="41">
        <v>952</v>
      </c>
      <c r="J107" s="252">
        <v>44115.321316000001</v>
      </c>
      <c r="K107" s="252">
        <v>141038.85714286999</v>
      </c>
      <c r="L107" s="252">
        <v>117945.16042857835</v>
      </c>
      <c r="M107" s="252">
        <v>162060.5</v>
      </c>
      <c r="N107" s="125">
        <v>3834720</v>
      </c>
      <c r="O107" s="41"/>
      <c r="P107" s="250" t="s">
        <v>104</v>
      </c>
      <c r="Q107" s="10" t="s">
        <v>281</v>
      </c>
      <c r="R107" s="41">
        <v>659</v>
      </c>
      <c r="S107" s="252">
        <v>2239.4</v>
      </c>
      <c r="T107" s="41">
        <v>1641511</v>
      </c>
      <c r="U107" s="41">
        <v>13584</v>
      </c>
      <c r="V107" s="252">
        <v>17254.900000000001</v>
      </c>
      <c r="W107" s="41">
        <v>160364</v>
      </c>
      <c r="X107" s="41">
        <v>38705.064516502563</v>
      </c>
      <c r="Y107" s="252">
        <v>88561.3</v>
      </c>
      <c r="Z107" s="41">
        <v>464244</v>
      </c>
      <c r="AA107" s="41">
        <v>2266119</v>
      </c>
      <c r="AB107" s="41">
        <v>15966688</v>
      </c>
      <c r="AC107" s="125">
        <v>0</v>
      </c>
    </row>
    <row r="108" spans="1:29" ht="15" customHeight="1" x14ac:dyDescent="0.2">
      <c r="A108" s="250" t="s">
        <v>105</v>
      </c>
      <c r="B108" s="10" t="s">
        <v>280</v>
      </c>
      <c r="C108" s="41">
        <v>98</v>
      </c>
      <c r="D108" s="41">
        <v>0</v>
      </c>
      <c r="E108" s="251">
        <v>0.79032327407401426</v>
      </c>
      <c r="F108" s="252">
        <v>77.5</v>
      </c>
      <c r="G108" s="41">
        <v>0</v>
      </c>
      <c r="H108" s="41">
        <v>457393</v>
      </c>
      <c r="I108" s="41">
        <v>58</v>
      </c>
      <c r="J108" s="252">
        <v>657.30942000000005</v>
      </c>
      <c r="K108" s="252">
        <v>14760.000000000002</v>
      </c>
      <c r="L108" s="252">
        <v>8653.2057000000004</v>
      </c>
      <c r="M108" s="252">
        <v>8471.6</v>
      </c>
      <c r="N108" s="125">
        <v>200457</v>
      </c>
      <c r="O108" s="41"/>
      <c r="P108" s="250" t="s">
        <v>105</v>
      </c>
      <c r="Q108" s="10" t="s">
        <v>280</v>
      </c>
      <c r="R108" s="41">
        <v>57</v>
      </c>
      <c r="S108" s="252">
        <v>112.8</v>
      </c>
      <c r="T108" s="41">
        <v>82684</v>
      </c>
      <c r="U108" s="41">
        <v>970</v>
      </c>
      <c r="V108" s="252">
        <v>1241.3</v>
      </c>
      <c r="W108" s="41">
        <v>11536</v>
      </c>
      <c r="X108" s="41">
        <v>1536.0333333333333</v>
      </c>
      <c r="Y108" s="252">
        <v>5904.1</v>
      </c>
      <c r="Z108" s="41">
        <v>30950</v>
      </c>
      <c r="AA108" s="41">
        <v>125170</v>
      </c>
      <c r="AB108" s="41">
        <v>783020</v>
      </c>
      <c r="AC108" s="125">
        <v>155495</v>
      </c>
    </row>
    <row r="109" spans="1:29" ht="15" customHeight="1" x14ac:dyDescent="0.2">
      <c r="A109" s="250" t="s">
        <v>107</v>
      </c>
      <c r="B109" s="10" t="s">
        <v>279</v>
      </c>
      <c r="C109" s="41">
        <v>38</v>
      </c>
      <c r="D109" s="41">
        <v>0</v>
      </c>
      <c r="E109" s="251">
        <v>0.81638377817221841</v>
      </c>
      <c r="F109" s="252">
        <v>31</v>
      </c>
      <c r="G109" s="41">
        <v>0</v>
      </c>
      <c r="H109" s="41">
        <v>182957</v>
      </c>
      <c r="I109" s="41">
        <v>30</v>
      </c>
      <c r="J109" s="252">
        <v>523.06874999999991</v>
      </c>
      <c r="K109" s="252">
        <v>3959.9999999999995</v>
      </c>
      <c r="L109" s="252">
        <v>2502.357</v>
      </c>
      <c r="M109" s="252">
        <v>2830.2</v>
      </c>
      <c r="N109" s="125">
        <v>66969</v>
      </c>
      <c r="O109" s="41"/>
      <c r="P109" s="250" t="s">
        <v>107</v>
      </c>
      <c r="Q109" s="10" t="s">
        <v>279</v>
      </c>
      <c r="R109" s="41">
        <v>25</v>
      </c>
      <c r="S109" s="252">
        <v>67.3</v>
      </c>
      <c r="T109" s="41">
        <v>49332</v>
      </c>
      <c r="U109" s="41">
        <v>179</v>
      </c>
      <c r="V109" s="252">
        <v>228.7</v>
      </c>
      <c r="W109" s="41">
        <v>2125</v>
      </c>
      <c r="X109" s="41">
        <v>798.75</v>
      </c>
      <c r="Y109" s="252">
        <v>3030.6</v>
      </c>
      <c r="Z109" s="41">
        <v>15887</v>
      </c>
      <c r="AA109" s="41">
        <v>67344</v>
      </c>
      <c r="AB109" s="41">
        <v>317270</v>
      </c>
      <c r="AC109" s="125">
        <v>7726</v>
      </c>
    </row>
    <row r="110" spans="1:29" ht="15" customHeight="1" x14ac:dyDescent="0.2">
      <c r="A110" s="250" t="s">
        <v>108</v>
      </c>
      <c r="B110" s="10" t="s">
        <v>276</v>
      </c>
      <c r="C110" s="41">
        <v>55</v>
      </c>
      <c r="D110" s="41">
        <v>0</v>
      </c>
      <c r="E110" s="251">
        <v>0.92757199784064714</v>
      </c>
      <c r="F110" s="252">
        <v>51</v>
      </c>
      <c r="G110" s="41">
        <v>3000</v>
      </c>
      <c r="H110" s="41">
        <v>303994</v>
      </c>
      <c r="I110" s="41">
        <v>16</v>
      </c>
      <c r="J110" s="252">
        <v>281.55580599999996</v>
      </c>
      <c r="K110" s="252">
        <v>4328.5</v>
      </c>
      <c r="L110" s="252">
        <v>3229.9275000000002</v>
      </c>
      <c r="M110" s="252">
        <v>3511.5</v>
      </c>
      <c r="N110" s="125">
        <v>83090</v>
      </c>
      <c r="O110" s="41"/>
      <c r="P110" s="250" t="s">
        <v>108</v>
      </c>
      <c r="Q110" s="10" t="s">
        <v>276</v>
      </c>
      <c r="R110" s="41">
        <v>21</v>
      </c>
      <c r="S110" s="252">
        <v>70</v>
      </c>
      <c r="T110" s="41">
        <v>51311</v>
      </c>
      <c r="U110" s="41">
        <v>482</v>
      </c>
      <c r="V110" s="252">
        <v>616.9</v>
      </c>
      <c r="W110" s="41">
        <v>5733</v>
      </c>
      <c r="X110" s="41">
        <v>1200.0246913580247</v>
      </c>
      <c r="Y110" s="252">
        <v>2981.9</v>
      </c>
      <c r="Z110" s="41">
        <v>15631</v>
      </c>
      <c r="AA110" s="41">
        <v>72675</v>
      </c>
      <c r="AB110" s="41">
        <v>459759</v>
      </c>
      <c r="AC110" s="125">
        <v>25977</v>
      </c>
    </row>
    <row r="111" spans="1:29" ht="15" customHeight="1" x14ac:dyDescent="0.2">
      <c r="A111" s="250" t="s">
        <v>109</v>
      </c>
      <c r="B111" s="10" t="s">
        <v>275</v>
      </c>
      <c r="C111" s="41">
        <v>3450</v>
      </c>
      <c r="D111" s="41">
        <v>248</v>
      </c>
      <c r="E111" s="251">
        <v>1.1467646175396444</v>
      </c>
      <c r="F111" s="252">
        <v>3956.3</v>
      </c>
      <c r="G111" s="41">
        <v>220000</v>
      </c>
      <c r="H111" s="41">
        <v>23569469</v>
      </c>
      <c r="I111" s="41">
        <v>1406</v>
      </c>
      <c r="J111" s="252">
        <v>69997.381834999993</v>
      </c>
      <c r="K111" s="252">
        <v>212612</v>
      </c>
      <c r="L111" s="252">
        <v>213080.20610000001</v>
      </c>
      <c r="M111" s="252">
        <v>283077.59999999998</v>
      </c>
      <c r="N111" s="125">
        <v>6698261</v>
      </c>
      <c r="O111" s="41"/>
      <c r="P111" s="250" t="s">
        <v>109</v>
      </c>
      <c r="Q111" s="10" t="s">
        <v>275</v>
      </c>
      <c r="R111" s="41">
        <v>1073</v>
      </c>
      <c r="S111" s="252">
        <v>3988.4</v>
      </c>
      <c r="T111" s="41">
        <v>2923551</v>
      </c>
      <c r="U111" s="41">
        <v>16871</v>
      </c>
      <c r="V111" s="252">
        <v>21607.3</v>
      </c>
      <c r="W111" s="41">
        <v>200814</v>
      </c>
      <c r="X111" s="41">
        <v>67150.014776834199</v>
      </c>
      <c r="Y111" s="252">
        <v>134708.79999999999</v>
      </c>
      <c r="Z111" s="41">
        <v>706153</v>
      </c>
      <c r="AA111" s="41">
        <v>3830518</v>
      </c>
      <c r="AB111" s="41">
        <v>34098248</v>
      </c>
      <c r="AC111" s="125">
        <v>0</v>
      </c>
    </row>
    <row r="112" spans="1:29" ht="15" customHeight="1" x14ac:dyDescent="0.2">
      <c r="A112" s="250" t="s">
        <v>110</v>
      </c>
      <c r="B112" s="10" t="s">
        <v>273</v>
      </c>
      <c r="C112" s="41">
        <v>2088</v>
      </c>
      <c r="D112" s="41">
        <v>130</v>
      </c>
      <c r="E112" s="251">
        <v>1.06932438614792</v>
      </c>
      <c r="F112" s="252">
        <v>2232.6999999999998</v>
      </c>
      <c r="G112" s="41">
        <v>80000</v>
      </c>
      <c r="H112" s="41">
        <v>13257049</v>
      </c>
      <c r="I112" s="41">
        <v>955</v>
      </c>
      <c r="J112" s="252">
        <v>48977.516575999995</v>
      </c>
      <c r="K112" s="252">
        <v>146027</v>
      </c>
      <c r="L112" s="252">
        <v>141500.31419999999</v>
      </c>
      <c r="M112" s="252">
        <v>190477.8</v>
      </c>
      <c r="N112" s="125">
        <v>4507138</v>
      </c>
      <c r="O112" s="41"/>
      <c r="P112" s="250" t="s">
        <v>110</v>
      </c>
      <c r="Q112" s="10" t="s">
        <v>273</v>
      </c>
      <c r="R112" s="41">
        <v>566</v>
      </c>
      <c r="S112" s="252">
        <v>2086.6999999999998</v>
      </c>
      <c r="T112" s="41">
        <v>1529579</v>
      </c>
      <c r="U112" s="41">
        <v>6496</v>
      </c>
      <c r="V112" s="252">
        <v>7978.6</v>
      </c>
      <c r="W112" s="41">
        <v>74152</v>
      </c>
      <c r="X112" s="41">
        <v>26526.525666666668</v>
      </c>
      <c r="Y112" s="252">
        <v>52433.7</v>
      </c>
      <c r="Z112" s="41">
        <v>274861</v>
      </c>
      <c r="AA112" s="41">
        <v>1878592</v>
      </c>
      <c r="AB112" s="41">
        <v>19642779</v>
      </c>
      <c r="AC112" s="125">
        <v>0</v>
      </c>
    </row>
    <row r="113" spans="1:29" ht="15" customHeight="1" x14ac:dyDescent="0.2">
      <c r="A113" s="250" t="s">
        <v>202</v>
      </c>
      <c r="B113" s="10" t="s">
        <v>272</v>
      </c>
      <c r="C113" s="41">
        <v>0</v>
      </c>
      <c r="D113" s="41">
        <v>0</v>
      </c>
      <c r="E113" s="251">
        <v>0</v>
      </c>
      <c r="F113" s="252">
        <v>0</v>
      </c>
      <c r="G113" s="41">
        <v>0</v>
      </c>
      <c r="H113" s="41">
        <v>0</v>
      </c>
      <c r="I113" s="41">
        <v>0</v>
      </c>
      <c r="J113" s="252">
        <v>0</v>
      </c>
      <c r="K113" s="252">
        <v>0</v>
      </c>
      <c r="L113" s="252">
        <v>0</v>
      </c>
      <c r="M113" s="252">
        <v>0</v>
      </c>
      <c r="N113" s="125">
        <v>0</v>
      </c>
      <c r="O113" s="41"/>
      <c r="P113" s="250" t="s">
        <v>202</v>
      </c>
      <c r="Q113" s="10" t="s">
        <v>272</v>
      </c>
      <c r="R113" s="41">
        <v>0</v>
      </c>
      <c r="S113" s="252">
        <v>0</v>
      </c>
      <c r="T113" s="41">
        <v>0</v>
      </c>
      <c r="U113" s="41">
        <v>0</v>
      </c>
      <c r="V113" s="252">
        <v>0</v>
      </c>
      <c r="W113" s="41">
        <v>0</v>
      </c>
      <c r="X113" s="41">
        <v>0</v>
      </c>
      <c r="Y113" s="252">
        <v>0</v>
      </c>
      <c r="Z113" s="41">
        <v>0</v>
      </c>
      <c r="AA113" s="41">
        <v>0</v>
      </c>
      <c r="AB113" s="41">
        <v>0</v>
      </c>
      <c r="AC113" s="125">
        <v>0</v>
      </c>
    </row>
    <row r="114" spans="1:29" ht="15" customHeight="1" x14ac:dyDescent="0.2">
      <c r="A114" s="250" t="s">
        <v>111</v>
      </c>
      <c r="B114" s="10" t="s">
        <v>271</v>
      </c>
      <c r="C114" s="41">
        <v>3710</v>
      </c>
      <c r="D114" s="41">
        <v>60</v>
      </c>
      <c r="E114" s="251">
        <v>1.0636501100930371</v>
      </c>
      <c r="F114" s="252">
        <v>3946.1</v>
      </c>
      <c r="G114" s="41">
        <v>0</v>
      </c>
      <c r="H114" s="41">
        <v>23289270</v>
      </c>
      <c r="I114" s="41">
        <v>1380</v>
      </c>
      <c r="J114" s="252">
        <v>65542.695107000021</v>
      </c>
      <c r="K114" s="252">
        <v>225343.85714298999</v>
      </c>
      <c r="L114" s="252">
        <v>216048.17142864232</v>
      </c>
      <c r="M114" s="252">
        <v>281590.90000000002</v>
      </c>
      <c r="N114" s="125">
        <v>6663082</v>
      </c>
      <c r="O114" s="41"/>
      <c r="P114" s="250" t="s">
        <v>111</v>
      </c>
      <c r="Q114" s="10" t="s">
        <v>271</v>
      </c>
      <c r="R114" s="41">
        <v>883</v>
      </c>
      <c r="S114" s="252">
        <v>3317.1</v>
      </c>
      <c r="T114" s="41">
        <v>2431479</v>
      </c>
      <c r="U114" s="41">
        <v>15771</v>
      </c>
      <c r="V114" s="252">
        <v>19567.900000000001</v>
      </c>
      <c r="W114" s="41">
        <v>181861</v>
      </c>
      <c r="X114" s="41">
        <v>59852.364739565957</v>
      </c>
      <c r="Y114" s="252">
        <v>124999.7</v>
      </c>
      <c r="Z114" s="41">
        <v>655257</v>
      </c>
      <c r="AA114" s="41">
        <v>3268597</v>
      </c>
      <c r="AB114" s="41">
        <v>33220949</v>
      </c>
      <c r="AC114" s="125">
        <v>0</v>
      </c>
    </row>
    <row r="115" spans="1:29" ht="15" customHeight="1" x14ac:dyDescent="0.2">
      <c r="A115" s="250" t="s">
        <v>112</v>
      </c>
      <c r="B115" s="10" t="s">
        <v>270</v>
      </c>
      <c r="C115" s="41">
        <v>2191</v>
      </c>
      <c r="D115" s="41">
        <v>220</v>
      </c>
      <c r="E115" s="251">
        <v>1.0770726203116316</v>
      </c>
      <c r="F115" s="252">
        <v>2359.9</v>
      </c>
      <c r="G115" s="41">
        <v>0</v>
      </c>
      <c r="H115" s="41">
        <v>13927764</v>
      </c>
      <c r="I115" s="41">
        <v>978</v>
      </c>
      <c r="J115" s="252">
        <v>46058.819725999994</v>
      </c>
      <c r="K115" s="252">
        <v>139087.5</v>
      </c>
      <c r="L115" s="252">
        <v>134463.43100000001</v>
      </c>
      <c r="M115" s="252">
        <v>180522.3</v>
      </c>
      <c r="N115" s="125">
        <v>4271569</v>
      </c>
      <c r="O115" s="41"/>
      <c r="P115" s="250" t="s">
        <v>112</v>
      </c>
      <c r="Q115" s="10" t="s">
        <v>270</v>
      </c>
      <c r="R115" s="41">
        <v>659</v>
      </c>
      <c r="S115" s="252">
        <v>2416.1</v>
      </c>
      <c r="T115" s="41">
        <v>1771034</v>
      </c>
      <c r="U115" s="41">
        <v>22450</v>
      </c>
      <c r="V115" s="252">
        <v>27266.7</v>
      </c>
      <c r="W115" s="41">
        <v>253412</v>
      </c>
      <c r="X115" s="41">
        <v>56061.59662960413</v>
      </c>
      <c r="Y115" s="252">
        <v>128792</v>
      </c>
      <c r="Z115" s="41">
        <v>675136</v>
      </c>
      <c r="AA115" s="41">
        <v>2699582</v>
      </c>
      <c r="AB115" s="41">
        <v>20898915</v>
      </c>
      <c r="AC115" s="125">
        <v>0</v>
      </c>
    </row>
    <row r="116" spans="1:29" ht="15" customHeight="1" x14ac:dyDescent="0.2">
      <c r="A116" s="250" t="s">
        <v>113</v>
      </c>
      <c r="B116" s="10" t="s">
        <v>269</v>
      </c>
      <c r="C116" s="41">
        <v>5887</v>
      </c>
      <c r="D116" s="41">
        <v>261</v>
      </c>
      <c r="E116" s="251">
        <v>1.045351659070421</v>
      </c>
      <c r="F116" s="252">
        <v>6154</v>
      </c>
      <c r="G116" s="41">
        <v>175000</v>
      </c>
      <c r="H116" s="41">
        <v>36494954</v>
      </c>
      <c r="I116" s="41">
        <v>2641</v>
      </c>
      <c r="J116" s="252">
        <v>122205.61661099999</v>
      </c>
      <c r="K116" s="252">
        <v>435425.50000013999</v>
      </c>
      <c r="L116" s="252">
        <v>397879.0738000751</v>
      </c>
      <c r="M116" s="252">
        <v>520084.7</v>
      </c>
      <c r="N116" s="125">
        <v>12306388</v>
      </c>
      <c r="O116" s="41"/>
      <c r="P116" s="250" t="s">
        <v>113</v>
      </c>
      <c r="Q116" s="10" t="s">
        <v>269</v>
      </c>
      <c r="R116" s="41">
        <v>1847</v>
      </c>
      <c r="S116" s="252">
        <v>6515.3</v>
      </c>
      <c r="T116" s="41">
        <v>4775803</v>
      </c>
      <c r="U116" s="41">
        <v>43822</v>
      </c>
      <c r="V116" s="252">
        <v>55133.3</v>
      </c>
      <c r="W116" s="41">
        <v>512399</v>
      </c>
      <c r="X116" s="41">
        <v>119196.95872042772</v>
      </c>
      <c r="Y116" s="252">
        <v>285453</v>
      </c>
      <c r="Z116" s="41">
        <v>1496364</v>
      </c>
      <c r="AA116" s="41">
        <v>6784566</v>
      </c>
      <c r="AB116" s="41">
        <v>55585908</v>
      </c>
      <c r="AC116" s="125">
        <v>0</v>
      </c>
    </row>
    <row r="117" spans="1:29" ht="15" customHeight="1" x14ac:dyDescent="0.2">
      <c r="A117" s="250" t="s">
        <v>114</v>
      </c>
      <c r="B117" s="10" t="s">
        <v>268</v>
      </c>
      <c r="C117" s="41">
        <v>4600</v>
      </c>
      <c r="D117" s="41">
        <v>425</v>
      </c>
      <c r="E117" s="251">
        <v>1.0887068450236783</v>
      </c>
      <c r="F117" s="252">
        <v>5008.1000000000004</v>
      </c>
      <c r="G117" s="41">
        <v>15000</v>
      </c>
      <c r="H117" s="41">
        <v>29572030</v>
      </c>
      <c r="I117" s="41">
        <v>2133</v>
      </c>
      <c r="J117" s="252">
        <v>104485.65071400005</v>
      </c>
      <c r="K117" s="252">
        <v>342362.00000001001</v>
      </c>
      <c r="L117" s="252">
        <v>322450.80290000554</v>
      </c>
      <c r="M117" s="252">
        <v>426936.5</v>
      </c>
      <c r="N117" s="125">
        <v>10102290</v>
      </c>
      <c r="O117" s="41"/>
      <c r="P117" s="250" t="s">
        <v>114</v>
      </c>
      <c r="Q117" s="10" t="s">
        <v>268</v>
      </c>
      <c r="R117" s="41">
        <v>1503</v>
      </c>
      <c r="S117" s="252">
        <v>5183.3999999999996</v>
      </c>
      <c r="T117" s="41">
        <v>3799502</v>
      </c>
      <c r="U117" s="41">
        <v>27427</v>
      </c>
      <c r="V117" s="252">
        <v>31947</v>
      </c>
      <c r="W117" s="41">
        <v>296910</v>
      </c>
      <c r="X117" s="41">
        <v>118640.05565063558</v>
      </c>
      <c r="Y117" s="252">
        <v>238959.1</v>
      </c>
      <c r="Z117" s="41">
        <v>1252640</v>
      </c>
      <c r="AA117" s="41">
        <v>5349052</v>
      </c>
      <c r="AB117" s="41">
        <v>45023372</v>
      </c>
      <c r="AC117" s="125">
        <v>0</v>
      </c>
    </row>
    <row r="118" spans="1:29" ht="15" customHeight="1" x14ac:dyDescent="0.2">
      <c r="A118" s="250" t="s">
        <v>115</v>
      </c>
      <c r="B118" s="10" t="s">
        <v>267</v>
      </c>
      <c r="C118" s="41">
        <v>1884</v>
      </c>
      <c r="D118" s="41">
        <v>80</v>
      </c>
      <c r="E118" s="251">
        <v>1.0921227129333737</v>
      </c>
      <c r="F118" s="252">
        <v>2057.6</v>
      </c>
      <c r="G118" s="41">
        <v>48000</v>
      </c>
      <c r="H118" s="41">
        <v>12191636</v>
      </c>
      <c r="I118" s="41">
        <v>879</v>
      </c>
      <c r="J118" s="252">
        <v>46692.90324900001</v>
      </c>
      <c r="K118" s="252">
        <v>125991</v>
      </c>
      <c r="L118" s="252">
        <v>123832.677</v>
      </c>
      <c r="M118" s="252">
        <v>170525.6</v>
      </c>
      <c r="N118" s="125">
        <v>4035024</v>
      </c>
      <c r="O118" s="41"/>
      <c r="P118" s="250" t="s">
        <v>115</v>
      </c>
      <c r="Q118" s="10" t="s">
        <v>267</v>
      </c>
      <c r="R118" s="41">
        <v>519</v>
      </c>
      <c r="S118" s="252">
        <v>1661.3</v>
      </c>
      <c r="T118" s="41">
        <v>1217755</v>
      </c>
      <c r="U118" s="41">
        <v>11377</v>
      </c>
      <c r="V118" s="252">
        <v>14497.1</v>
      </c>
      <c r="W118" s="41">
        <v>134734</v>
      </c>
      <c r="X118" s="41">
        <v>49191.223358021663</v>
      </c>
      <c r="Y118" s="252">
        <v>99642.5</v>
      </c>
      <c r="Z118" s="41">
        <v>522333</v>
      </c>
      <c r="AA118" s="41">
        <v>1874822</v>
      </c>
      <c r="AB118" s="41">
        <v>18101482</v>
      </c>
      <c r="AC118" s="125">
        <v>420150</v>
      </c>
    </row>
    <row r="119" spans="1:29" ht="15" customHeight="1" x14ac:dyDescent="0.2">
      <c r="A119" s="250" t="s">
        <v>176</v>
      </c>
      <c r="B119" s="10" t="s">
        <v>266</v>
      </c>
      <c r="C119" s="41">
        <v>88</v>
      </c>
      <c r="D119" s="41">
        <v>0</v>
      </c>
      <c r="E119" s="251">
        <v>0.86</v>
      </c>
      <c r="F119" s="252">
        <v>75.7</v>
      </c>
      <c r="G119" s="41">
        <v>6000000</v>
      </c>
      <c r="H119" s="41">
        <v>6446770</v>
      </c>
      <c r="I119" s="41">
        <v>0</v>
      </c>
      <c r="J119" s="252">
        <v>0</v>
      </c>
      <c r="K119" s="252">
        <v>0</v>
      </c>
      <c r="L119" s="252">
        <v>0</v>
      </c>
      <c r="M119" s="252">
        <v>0</v>
      </c>
      <c r="N119" s="125">
        <v>0</v>
      </c>
      <c r="O119" s="41"/>
      <c r="P119" s="250" t="s">
        <v>176</v>
      </c>
      <c r="Q119" s="10" t="s">
        <v>266</v>
      </c>
      <c r="R119" s="41">
        <v>0</v>
      </c>
      <c r="S119" s="252">
        <v>0</v>
      </c>
      <c r="T119" s="41">
        <v>0</v>
      </c>
      <c r="U119" s="41">
        <v>0</v>
      </c>
      <c r="V119" s="252">
        <v>0</v>
      </c>
      <c r="W119" s="41">
        <v>0</v>
      </c>
      <c r="X119" s="41">
        <v>0</v>
      </c>
      <c r="Y119" s="252">
        <v>0</v>
      </c>
      <c r="Z119" s="41">
        <v>0</v>
      </c>
      <c r="AA119" s="41">
        <v>0</v>
      </c>
      <c r="AB119" s="41">
        <v>6446770</v>
      </c>
      <c r="AC119" s="125">
        <v>1249940</v>
      </c>
    </row>
    <row r="120" spans="1:29" ht="15" customHeight="1" x14ac:dyDescent="0.2">
      <c r="A120" s="250" t="s">
        <v>116</v>
      </c>
      <c r="B120" s="10" t="s">
        <v>264</v>
      </c>
      <c r="C120" s="41">
        <v>27</v>
      </c>
      <c r="D120" s="41">
        <v>0</v>
      </c>
      <c r="E120" s="251">
        <v>1.2299999999999989</v>
      </c>
      <c r="F120" s="252">
        <v>33.200000000000003</v>
      </c>
      <c r="G120" s="41">
        <v>250000</v>
      </c>
      <c r="H120" s="41">
        <v>445941</v>
      </c>
      <c r="I120" s="41">
        <v>10</v>
      </c>
      <c r="J120" s="252">
        <v>885.6</v>
      </c>
      <c r="K120" s="252">
        <v>1812</v>
      </c>
      <c r="L120" s="252">
        <v>2066.58</v>
      </c>
      <c r="M120" s="252">
        <v>2952.2</v>
      </c>
      <c r="N120" s="125">
        <v>69856</v>
      </c>
      <c r="O120" s="41"/>
      <c r="P120" s="250" t="s">
        <v>116</v>
      </c>
      <c r="Q120" s="10" t="s">
        <v>264</v>
      </c>
      <c r="R120" s="41">
        <v>5</v>
      </c>
      <c r="S120" s="252">
        <v>22.5</v>
      </c>
      <c r="T120" s="41">
        <v>16493</v>
      </c>
      <c r="U120" s="41">
        <v>125</v>
      </c>
      <c r="V120" s="252">
        <v>160</v>
      </c>
      <c r="W120" s="41">
        <v>1487</v>
      </c>
      <c r="X120" s="41">
        <v>445</v>
      </c>
      <c r="Y120" s="252">
        <v>1602</v>
      </c>
      <c r="Z120" s="41">
        <v>8398</v>
      </c>
      <c r="AA120" s="41">
        <v>26378</v>
      </c>
      <c r="AB120" s="41">
        <v>542175</v>
      </c>
      <c r="AC120" s="125">
        <v>49587</v>
      </c>
    </row>
    <row r="121" spans="1:29" ht="15" customHeight="1" x14ac:dyDescent="0.2">
      <c r="A121" s="250" t="s">
        <v>148</v>
      </c>
      <c r="B121" s="10" t="s">
        <v>263</v>
      </c>
      <c r="C121" s="41">
        <v>21</v>
      </c>
      <c r="D121" s="41">
        <v>0</v>
      </c>
      <c r="E121" s="251">
        <v>0.94709999999999972</v>
      </c>
      <c r="F121" s="252">
        <v>19.899999999999999</v>
      </c>
      <c r="G121" s="41">
        <v>0</v>
      </c>
      <c r="H121" s="41">
        <v>117447</v>
      </c>
      <c r="I121" s="41">
        <v>19</v>
      </c>
      <c r="J121" s="252">
        <v>330.408995</v>
      </c>
      <c r="K121" s="252">
        <v>2520</v>
      </c>
      <c r="L121" s="252">
        <v>2317.248</v>
      </c>
      <c r="M121" s="252">
        <v>2008.4</v>
      </c>
      <c r="N121" s="125">
        <v>47523</v>
      </c>
      <c r="O121" s="41"/>
      <c r="P121" s="250" t="s">
        <v>148</v>
      </c>
      <c r="Q121" s="10" t="s">
        <v>263</v>
      </c>
      <c r="R121" s="41">
        <v>12</v>
      </c>
      <c r="S121" s="252">
        <v>33.299999999999997</v>
      </c>
      <c r="T121" s="41">
        <v>24409</v>
      </c>
      <c r="U121" s="41">
        <v>0</v>
      </c>
      <c r="V121" s="252">
        <v>0</v>
      </c>
      <c r="W121" s="41">
        <v>0</v>
      </c>
      <c r="X121" s="41">
        <v>0</v>
      </c>
      <c r="Y121" s="252">
        <v>0</v>
      </c>
      <c r="Z121" s="41">
        <v>0</v>
      </c>
      <c r="AA121" s="41">
        <v>24409</v>
      </c>
      <c r="AB121" s="41">
        <v>189379</v>
      </c>
      <c r="AC121" s="125">
        <v>10461</v>
      </c>
    </row>
    <row r="122" spans="1:29" ht="15" customHeight="1" x14ac:dyDescent="0.2">
      <c r="A122" s="250" t="s">
        <v>117</v>
      </c>
      <c r="B122" s="10" t="s">
        <v>262</v>
      </c>
      <c r="C122" s="41">
        <v>102</v>
      </c>
      <c r="D122" s="41">
        <v>0</v>
      </c>
      <c r="E122" s="251">
        <v>1.3422389004669324</v>
      </c>
      <c r="F122" s="252">
        <v>136.9</v>
      </c>
      <c r="G122" s="41">
        <v>0</v>
      </c>
      <c r="H122" s="41">
        <v>807963</v>
      </c>
      <c r="I122" s="41">
        <v>23</v>
      </c>
      <c r="J122" s="252">
        <v>1440.0450000000001</v>
      </c>
      <c r="K122" s="252">
        <v>5734</v>
      </c>
      <c r="L122" s="252">
        <v>6044.2000000000007</v>
      </c>
      <c r="M122" s="252">
        <v>7484.2</v>
      </c>
      <c r="N122" s="125">
        <v>177093</v>
      </c>
      <c r="O122" s="41"/>
      <c r="P122" s="250" t="s">
        <v>117</v>
      </c>
      <c r="Q122" s="10" t="s">
        <v>262</v>
      </c>
      <c r="R122" s="41">
        <v>24</v>
      </c>
      <c r="S122" s="252">
        <v>103.8</v>
      </c>
      <c r="T122" s="41">
        <v>76087</v>
      </c>
      <c r="U122" s="41">
        <v>441</v>
      </c>
      <c r="V122" s="252">
        <v>458</v>
      </c>
      <c r="W122" s="41">
        <v>4257</v>
      </c>
      <c r="X122" s="41">
        <v>1186</v>
      </c>
      <c r="Y122" s="252">
        <v>3867.4</v>
      </c>
      <c r="Z122" s="41">
        <v>20273</v>
      </c>
      <c r="AA122" s="41">
        <v>100617</v>
      </c>
      <c r="AB122" s="41">
        <v>1085673</v>
      </c>
      <c r="AC122" s="125">
        <v>106271</v>
      </c>
    </row>
    <row r="123" spans="1:29" ht="15" customHeight="1" x14ac:dyDescent="0.2">
      <c r="A123" s="250" t="s">
        <v>118</v>
      </c>
      <c r="B123" s="10" t="s">
        <v>261</v>
      </c>
      <c r="C123" s="41">
        <v>278</v>
      </c>
      <c r="D123" s="41">
        <v>0</v>
      </c>
      <c r="E123" s="251">
        <v>1.2325419160148832</v>
      </c>
      <c r="F123" s="252">
        <v>342.6</v>
      </c>
      <c r="G123" s="41">
        <v>0</v>
      </c>
      <c r="H123" s="41">
        <v>2021972</v>
      </c>
      <c r="I123" s="41">
        <v>183</v>
      </c>
      <c r="J123" s="252">
        <v>8647.7604780000001</v>
      </c>
      <c r="K123" s="252">
        <v>28560.000000000004</v>
      </c>
      <c r="L123" s="252">
        <v>28993.258500000004</v>
      </c>
      <c r="M123" s="252">
        <v>32587</v>
      </c>
      <c r="N123" s="125">
        <v>771083</v>
      </c>
      <c r="O123" s="41"/>
      <c r="P123" s="250" t="s">
        <v>118</v>
      </c>
      <c r="Q123" s="10" t="s">
        <v>261</v>
      </c>
      <c r="R123" s="41">
        <v>90</v>
      </c>
      <c r="S123" s="252">
        <v>247.2</v>
      </c>
      <c r="T123" s="41">
        <v>181201</v>
      </c>
      <c r="U123" s="41">
        <v>2734</v>
      </c>
      <c r="V123" s="252">
        <v>3462.2</v>
      </c>
      <c r="W123" s="41">
        <v>32177</v>
      </c>
      <c r="X123" s="41">
        <v>9141.2929145361577</v>
      </c>
      <c r="Y123" s="252">
        <v>19372.5</v>
      </c>
      <c r="Z123" s="41">
        <v>101552</v>
      </c>
      <c r="AA123" s="41">
        <v>314930</v>
      </c>
      <c r="AB123" s="41">
        <v>3107985</v>
      </c>
      <c r="AC123" s="125">
        <v>307791</v>
      </c>
    </row>
    <row r="124" spans="1:29" ht="15" customHeight="1" x14ac:dyDescent="0.2">
      <c r="A124" s="250" t="s">
        <v>119</v>
      </c>
      <c r="B124" s="10" t="s">
        <v>260</v>
      </c>
      <c r="C124" s="41">
        <v>226</v>
      </c>
      <c r="D124" s="41">
        <v>20</v>
      </c>
      <c r="E124" s="251">
        <v>0.77142966059972207</v>
      </c>
      <c r="F124" s="252">
        <v>174.3</v>
      </c>
      <c r="G124" s="41">
        <v>20000</v>
      </c>
      <c r="H124" s="41">
        <v>1048692</v>
      </c>
      <c r="I124" s="41">
        <v>155</v>
      </c>
      <c r="J124" s="252">
        <v>1941.6371949999998</v>
      </c>
      <c r="K124" s="252">
        <v>27120</v>
      </c>
      <c r="L124" s="252">
        <v>16047.355500000001</v>
      </c>
      <c r="M124" s="252">
        <v>16440</v>
      </c>
      <c r="N124" s="125">
        <v>389008</v>
      </c>
      <c r="O124" s="41"/>
      <c r="P124" s="250" t="s">
        <v>119</v>
      </c>
      <c r="Q124" s="10" t="s">
        <v>260</v>
      </c>
      <c r="R124" s="41">
        <v>101</v>
      </c>
      <c r="S124" s="252">
        <v>212</v>
      </c>
      <c r="T124" s="41">
        <v>155399</v>
      </c>
      <c r="U124" s="41">
        <v>1865</v>
      </c>
      <c r="V124" s="252">
        <v>2388.6</v>
      </c>
      <c r="W124" s="41">
        <v>22199</v>
      </c>
      <c r="X124" s="41">
        <v>8841.5608319999992</v>
      </c>
      <c r="Y124" s="252">
        <v>21186.2</v>
      </c>
      <c r="Z124" s="41">
        <v>111059</v>
      </c>
      <c r="AA124" s="41">
        <v>288657</v>
      </c>
      <c r="AB124" s="41">
        <v>1726357</v>
      </c>
      <c r="AC124" s="125">
        <v>73406</v>
      </c>
    </row>
    <row r="125" spans="1:29" ht="15" customHeight="1" x14ac:dyDescent="0.2">
      <c r="A125" s="250" t="s">
        <v>524</v>
      </c>
      <c r="B125" s="10" t="s">
        <v>259</v>
      </c>
      <c r="C125" s="41">
        <v>698</v>
      </c>
      <c r="D125" s="41">
        <v>174</v>
      </c>
      <c r="E125" s="251">
        <v>0.69861567967588301</v>
      </c>
      <c r="F125" s="252">
        <v>487.6</v>
      </c>
      <c r="G125" s="41">
        <v>0</v>
      </c>
      <c r="H125" s="41">
        <v>2877740</v>
      </c>
      <c r="I125" s="41">
        <v>545</v>
      </c>
      <c r="J125" s="252">
        <v>8324.0345359999992</v>
      </c>
      <c r="K125" s="252">
        <v>79560</v>
      </c>
      <c r="L125" s="252">
        <v>43310.023499999996</v>
      </c>
      <c r="M125" s="252">
        <v>46368.9</v>
      </c>
      <c r="N125" s="125">
        <v>1097194</v>
      </c>
      <c r="O125" s="41"/>
      <c r="P125" s="250" t="s">
        <v>524</v>
      </c>
      <c r="Q125" s="10" t="s">
        <v>259</v>
      </c>
      <c r="R125" s="41">
        <v>335</v>
      </c>
      <c r="S125" s="252">
        <v>864.2</v>
      </c>
      <c r="T125" s="41">
        <v>633470</v>
      </c>
      <c r="U125" s="41">
        <v>4832.7222222222226</v>
      </c>
      <c r="V125" s="252">
        <v>6120.4</v>
      </c>
      <c r="W125" s="41">
        <v>56882</v>
      </c>
      <c r="X125" s="41">
        <v>23887.565217391304</v>
      </c>
      <c r="Y125" s="252">
        <v>54837.2</v>
      </c>
      <c r="Z125" s="41">
        <v>287460</v>
      </c>
      <c r="AA125" s="41">
        <v>977812</v>
      </c>
      <c r="AB125" s="41">
        <v>4952746</v>
      </c>
      <c r="AC125" s="125">
        <v>216502</v>
      </c>
    </row>
    <row r="126" spans="1:29" ht="15" customHeight="1" x14ac:dyDescent="0.2">
      <c r="A126" s="250" t="s">
        <v>121</v>
      </c>
      <c r="B126" s="10" t="s">
        <v>258</v>
      </c>
      <c r="C126" s="41">
        <v>563</v>
      </c>
      <c r="D126" s="41">
        <v>0</v>
      </c>
      <c r="E126" s="251">
        <v>1.1747874902883373</v>
      </c>
      <c r="F126" s="252">
        <v>661.4</v>
      </c>
      <c r="G126" s="41">
        <v>0</v>
      </c>
      <c r="H126" s="41">
        <v>3903480</v>
      </c>
      <c r="I126" s="41">
        <v>205</v>
      </c>
      <c r="J126" s="252">
        <v>12181.749893999995</v>
      </c>
      <c r="K126" s="252">
        <v>35711.5</v>
      </c>
      <c r="L126" s="252">
        <v>37857.979499999987</v>
      </c>
      <c r="M126" s="252">
        <v>50039.7</v>
      </c>
      <c r="N126" s="125">
        <v>1184053</v>
      </c>
      <c r="O126" s="41"/>
      <c r="P126" s="250" t="s">
        <v>121</v>
      </c>
      <c r="Q126" s="10" t="s">
        <v>258</v>
      </c>
      <c r="R126" s="41">
        <v>202</v>
      </c>
      <c r="S126" s="252">
        <v>767.4</v>
      </c>
      <c r="T126" s="41">
        <v>562515</v>
      </c>
      <c r="U126" s="41">
        <v>2067</v>
      </c>
      <c r="V126" s="252">
        <v>2351</v>
      </c>
      <c r="W126" s="41">
        <v>21850</v>
      </c>
      <c r="X126" s="41">
        <v>5706</v>
      </c>
      <c r="Y126" s="252">
        <v>21733.7</v>
      </c>
      <c r="Z126" s="41">
        <v>113930</v>
      </c>
      <c r="AA126" s="41">
        <v>698295</v>
      </c>
      <c r="AB126" s="41">
        <v>5785828</v>
      </c>
      <c r="AC126" s="125">
        <v>0</v>
      </c>
    </row>
    <row r="127" spans="1:29" ht="15" customHeight="1" x14ac:dyDescent="0.2">
      <c r="A127" s="250" t="s">
        <v>122</v>
      </c>
      <c r="B127" s="10" t="s">
        <v>257</v>
      </c>
      <c r="C127" s="41">
        <v>1087</v>
      </c>
      <c r="D127" s="41">
        <v>0</v>
      </c>
      <c r="E127" s="251">
        <v>1.0418491321278893</v>
      </c>
      <c r="F127" s="252">
        <v>1132.5</v>
      </c>
      <c r="G127" s="41">
        <v>15000</v>
      </c>
      <c r="H127" s="41">
        <v>6698839</v>
      </c>
      <c r="I127" s="41">
        <v>377</v>
      </c>
      <c r="J127" s="252">
        <v>23775.188463999995</v>
      </c>
      <c r="K127" s="252">
        <v>65105.5</v>
      </c>
      <c r="L127" s="252">
        <v>63876.124999999985</v>
      </c>
      <c r="M127" s="252">
        <v>87651.3</v>
      </c>
      <c r="N127" s="125">
        <v>2074029</v>
      </c>
      <c r="O127" s="41"/>
      <c r="P127" s="250" t="s">
        <v>122</v>
      </c>
      <c r="Q127" s="10" t="s">
        <v>257</v>
      </c>
      <c r="R127" s="41">
        <v>288</v>
      </c>
      <c r="S127" s="252">
        <v>1163</v>
      </c>
      <c r="T127" s="41">
        <v>852495</v>
      </c>
      <c r="U127" s="41">
        <v>4050</v>
      </c>
      <c r="V127" s="252">
        <v>5187.5</v>
      </c>
      <c r="W127" s="41">
        <v>48212</v>
      </c>
      <c r="X127" s="41">
        <v>21614.634317049167</v>
      </c>
      <c r="Y127" s="252">
        <v>41712.300000000003</v>
      </c>
      <c r="Z127" s="41">
        <v>218659</v>
      </c>
      <c r="AA127" s="41">
        <v>1119366</v>
      </c>
      <c r="AB127" s="41">
        <v>9892234</v>
      </c>
      <c r="AC127" s="125">
        <v>614618</v>
      </c>
    </row>
    <row r="128" spans="1:29" ht="15" customHeight="1" x14ac:dyDescent="0.2">
      <c r="A128" s="250" t="s">
        <v>123</v>
      </c>
      <c r="B128" s="10" t="s">
        <v>256</v>
      </c>
      <c r="C128" s="41">
        <v>1519</v>
      </c>
      <c r="D128" s="41">
        <v>75</v>
      </c>
      <c r="E128" s="251">
        <v>1.1388284584800907</v>
      </c>
      <c r="F128" s="252">
        <v>1729.9</v>
      </c>
      <c r="G128" s="41">
        <v>80000</v>
      </c>
      <c r="H128" s="41">
        <v>10289602</v>
      </c>
      <c r="I128" s="41">
        <v>682</v>
      </c>
      <c r="J128" s="252">
        <v>37456.288866000003</v>
      </c>
      <c r="K128" s="252">
        <v>114489.5</v>
      </c>
      <c r="L128" s="252">
        <v>116477.45049999996</v>
      </c>
      <c r="M128" s="252">
        <v>153933.70000000001</v>
      </c>
      <c r="N128" s="125">
        <v>3642422</v>
      </c>
      <c r="O128" s="41"/>
      <c r="P128" s="250" t="s">
        <v>123</v>
      </c>
      <c r="Q128" s="10" t="s">
        <v>256</v>
      </c>
      <c r="R128" s="41">
        <v>514</v>
      </c>
      <c r="S128" s="252">
        <v>1708.1</v>
      </c>
      <c r="T128" s="41">
        <v>1252060</v>
      </c>
      <c r="U128" s="41">
        <v>9119</v>
      </c>
      <c r="V128" s="252">
        <v>11682.5</v>
      </c>
      <c r="W128" s="41">
        <v>108575</v>
      </c>
      <c r="X128" s="41">
        <v>22264.519056113069</v>
      </c>
      <c r="Y128" s="252">
        <v>47071.5</v>
      </c>
      <c r="Z128" s="41">
        <v>246752</v>
      </c>
      <c r="AA128" s="41">
        <v>1607387</v>
      </c>
      <c r="AB128" s="41">
        <v>15539411</v>
      </c>
      <c r="AC128" s="125">
        <v>0</v>
      </c>
    </row>
    <row r="129" spans="1:29" ht="15" customHeight="1" x14ac:dyDescent="0.2">
      <c r="A129" s="250" t="s">
        <v>124</v>
      </c>
      <c r="B129" s="10" t="s">
        <v>255</v>
      </c>
      <c r="C129" s="41">
        <v>1903</v>
      </c>
      <c r="D129" s="41">
        <v>555</v>
      </c>
      <c r="E129" s="251">
        <v>0.83638782889159302</v>
      </c>
      <c r="F129" s="252">
        <v>1591.6</v>
      </c>
      <c r="G129" s="41">
        <v>150000</v>
      </c>
      <c r="H129" s="41">
        <v>9543376</v>
      </c>
      <c r="I129" s="41">
        <v>865</v>
      </c>
      <c r="J129" s="252">
        <v>17987.882852000002</v>
      </c>
      <c r="K129" s="252">
        <v>143223</v>
      </c>
      <c r="L129" s="252">
        <v>95060.042899999986</v>
      </c>
      <c r="M129" s="252">
        <v>113047.9</v>
      </c>
      <c r="N129" s="125">
        <v>2674971</v>
      </c>
      <c r="O129" s="41"/>
      <c r="P129" s="250" t="s">
        <v>124</v>
      </c>
      <c r="Q129" s="10" t="s">
        <v>255</v>
      </c>
      <c r="R129" s="41">
        <v>605</v>
      </c>
      <c r="S129" s="252">
        <v>2021.6</v>
      </c>
      <c r="T129" s="41">
        <v>1481860</v>
      </c>
      <c r="U129" s="41">
        <v>16004.867724867723</v>
      </c>
      <c r="V129" s="252">
        <v>20088.5</v>
      </c>
      <c r="W129" s="41">
        <v>186699</v>
      </c>
      <c r="X129" s="41">
        <v>41257.643721690052</v>
      </c>
      <c r="Y129" s="252">
        <v>109969.7</v>
      </c>
      <c r="Z129" s="41">
        <v>576469</v>
      </c>
      <c r="AA129" s="41">
        <v>2245028</v>
      </c>
      <c r="AB129" s="41">
        <v>14463375</v>
      </c>
      <c r="AC129" s="125">
        <v>714159</v>
      </c>
    </row>
    <row r="130" spans="1:29" ht="15" customHeight="1" x14ac:dyDescent="0.2">
      <c r="A130" s="250" t="s">
        <v>125</v>
      </c>
      <c r="B130" s="10" t="s">
        <v>254</v>
      </c>
      <c r="C130" s="41">
        <v>8614</v>
      </c>
      <c r="D130" s="41">
        <v>115</v>
      </c>
      <c r="E130" s="251">
        <v>1.0582435230079013</v>
      </c>
      <c r="F130" s="252">
        <v>9115.7000000000007</v>
      </c>
      <c r="G130" s="41">
        <v>260000</v>
      </c>
      <c r="H130" s="41">
        <v>54059448</v>
      </c>
      <c r="I130" s="41">
        <v>3865</v>
      </c>
      <c r="J130" s="252">
        <v>191265.05448799985</v>
      </c>
      <c r="K130" s="252">
        <v>598383.07142868999</v>
      </c>
      <c r="L130" s="252">
        <v>561903.97958577739</v>
      </c>
      <c r="M130" s="252">
        <v>753169</v>
      </c>
      <c r="N130" s="125">
        <v>17821693</v>
      </c>
      <c r="O130" s="41"/>
      <c r="P130" s="250" t="s">
        <v>125</v>
      </c>
      <c r="Q130" s="10" t="s">
        <v>254</v>
      </c>
      <c r="R130" s="41">
        <v>3039</v>
      </c>
      <c r="S130" s="252">
        <v>10741.9</v>
      </c>
      <c r="T130" s="41">
        <v>7873958</v>
      </c>
      <c r="U130" s="41">
        <v>45627.311062431545</v>
      </c>
      <c r="V130" s="252">
        <v>58420.1</v>
      </c>
      <c r="W130" s="41">
        <v>542946</v>
      </c>
      <c r="X130" s="41">
        <v>149676.93736792338</v>
      </c>
      <c r="Y130" s="252">
        <v>305025.7</v>
      </c>
      <c r="Z130" s="41">
        <v>1598965</v>
      </c>
      <c r="AA130" s="41">
        <v>10015869</v>
      </c>
      <c r="AB130" s="41">
        <v>81897010</v>
      </c>
      <c r="AC130" s="125">
        <v>0</v>
      </c>
    </row>
    <row r="131" spans="1:29" ht="15" customHeight="1" x14ac:dyDescent="0.2">
      <c r="A131" s="250" t="s">
        <v>126</v>
      </c>
      <c r="B131" s="10" t="s">
        <v>253</v>
      </c>
      <c r="C131" s="41">
        <v>65</v>
      </c>
      <c r="D131" s="41">
        <v>0</v>
      </c>
      <c r="E131" s="251">
        <v>1.4942816356850723</v>
      </c>
      <c r="F131" s="252">
        <v>97.1</v>
      </c>
      <c r="G131" s="41">
        <v>0</v>
      </c>
      <c r="H131" s="41">
        <v>573069</v>
      </c>
      <c r="I131" s="41">
        <v>30</v>
      </c>
      <c r="J131" s="252">
        <v>2685.9580919999999</v>
      </c>
      <c r="K131" s="252">
        <v>5160</v>
      </c>
      <c r="L131" s="252">
        <v>7012.65</v>
      </c>
      <c r="M131" s="252">
        <v>9698.6</v>
      </c>
      <c r="N131" s="125">
        <v>229491</v>
      </c>
      <c r="O131" s="41"/>
      <c r="P131" s="250" t="s">
        <v>126</v>
      </c>
      <c r="Q131" s="10" t="s">
        <v>253</v>
      </c>
      <c r="R131" s="41">
        <v>22</v>
      </c>
      <c r="S131" s="252">
        <v>62.9</v>
      </c>
      <c r="T131" s="41">
        <v>46107</v>
      </c>
      <c r="U131" s="41">
        <v>544</v>
      </c>
      <c r="V131" s="252">
        <v>631.70000000000005</v>
      </c>
      <c r="W131" s="41">
        <v>5871</v>
      </c>
      <c r="X131" s="41">
        <v>1130</v>
      </c>
      <c r="Y131" s="252">
        <v>4127</v>
      </c>
      <c r="Z131" s="41">
        <v>21634</v>
      </c>
      <c r="AA131" s="41">
        <v>73612</v>
      </c>
      <c r="AB131" s="41">
        <v>876172</v>
      </c>
      <c r="AC131" s="125">
        <v>28808</v>
      </c>
    </row>
    <row r="132" spans="1:29" ht="15" customHeight="1" x14ac:dyDescent="0.2">
      <c r="A132" s="250" t="s">
        <v>127</v>
      </c>
      <c r="B132" s="10" t="s">
        <v>251</v>
      </c>
      <c r="C132" s="41">
        <v>66</v>
      </c>
      <c r="D132" s="41">
        <v>0</v>
      </c>
      <c r="E132" s="251">
        <v>1.5896765703321101</v>
      </c>
      <c r="F132" s="252">
        <v>104.9</v>
      </c>
      <c r="G132" s="41">
        <v>0</v>
      </c>
      <c r="H132" s="41">
        <v>619104</v>
      </c>
      <c r="I132" s="41">
        <v>36</v>
      </c>
      <c r="J132" s="252">
        <v>3436.61184</v>
      </c>
      <c r="K132" s="252">
        <v>8400</v>
      </c>
      <c r="L132" s="252">
        <v>15675.640000000001</v>
      </c>
      <c r="M132" s="252">
        <v>13996</v>
      </c>
      <c r="N132" s="125">
        <v>331177</v>
      </c>
      <c r="O132" s="41"/>
      <c r="P132" s="250" t="s">
        <v>127</v>
      </c>
      <c r="Q132" s="10" t="s">
        <v>251</v>
      </c>
      <c r="R132" s="41">
        <v>24</v>
      </c>
      <c r="S132" s="252">
        <v>92.5</v>
      </c>
      <c r="T132" s="41">
        <v>67804</v>
      </c>
      <c r="U132" s="41">
        <v>520</v>
      </c>
      <c r="V132" s="252">
        <v>537.9</v>
      </c>
      <c r="W132" s="41">
        <v>4999</v>
      </c>
      <c r="X132" s="41">
        <v>0</v>
      </c>
      <c r="Y132" s="252">
        <v>0</v>
      </c>
      <c r="Z132" s="41">
        <v>0</v>
      </c>
      <c r="AA132" s="41">
        <v>72803</v>
      </c>
      <c r="AB132" s="41">
        <v>1023084</v>
      </c>
      <c r="AC132" s="125">
        <v>44481</v>
      </c>
    </row>
    <row r="133" spans="1:29" ht="15" customHeight="1" x14ac:dyDescent="0.2">
      <c r="A133" s="250" t="s">
        <v>128</v>
      </c>
      <c r="B133" s="10" t="s">
        <v>246</v>
      </c>
      <c r="C133" s="41">
        <v>197</v>
      </c>
      <c r="D133" s="41">
        <v>0</v>
      </c>
      <c r="E133" s="251">
        <v>1.4130168599609065</v>
      </c>
      <c r="F133" s="252">
        <v>278.39999999999998</v>
      </c>
      <c r="G133" s="41">
        <v>0</v>
      </c>
      <c r="H133" s="41">
        <v>1643074</v>
      </c>
      <c r="I133" s="41">
        <v>65</v>
      </c>
      <c r="J133" s="252">
        <v>5003.4600719999999</v>
      </c>
      <c r="K133" s="252">
        <v>14720</v>
      </c>
      <c r="L133" s="252">
        <v>18457.59</v>
      </c>
      <c r="M133" s="252">
        <v>23461.1</v>
      </c>
      <c r="N133" s="125">
        <v>555143</v>
      </c>
      <c r="O133" s="41"/>
      <c r="P133" s="250" t="s">
        <v>128</v>
      </c>
      <c r="Q133" s="10" t="s">
        <v>246</v>
      </c>
      <c r="R133" s="41">
        <v>41</v>
      </c>
      <c r="S133" s="252">
        <v>184</v>
      </c>
      <c r="T133" s="41">
        <v>134874</v>
      </c>
      <c r="U133" s="41">
        <v>1128</v>
      </c>
      <c r="V133" s="252">
        <v>1428.2</v>
      </c>
      <c r="W133" s="41">
        <v>13273</v>
      </c>
      <c r="X133" s="41">
        <v>5566.5555555555557</v>
      </c>
      <c r="Y133" s="252">
        <v>10920.4</v>
      </c>
      <c r="Z133" s="41">
        <v>57245</v>
      </c>
      <c r="AA133" s="41">
        <v>205392</v>
      </c>
      <c r="AB133" s="41">
        <v>2403609</v>
      </c>
      <c r="AC133" s="125">
        <v>144639</v>
      </c>
    </row>
    <row r="134" spans="1:29" ht="15" customHeight="1" x14ac:dyDescent="0.2">
      <c r="A134" s="250" t="s">
        <v>169</v>
      </c>
      <c r="B134" s="10" t="s">
        <v>248</v>
      </c>
      <c r="C134" s="41">
        <v>35</v>
      </c>
      <c r="D134" s="41">
        <v>0</v>
      </c>
      <c r="E134" s="251">
        <v>0.76229999999999976</v>
      </c>
      <c r="F134" s="252">
        <v>26.7</v>
      </c>
      <c r="G134" s="41">
        <v>0</v>
      </c>
      <c r="H134" s="41">
        <v>157579</v>
      </c>
      <c r="I134" s="41">
        <v>25</v>
      </c>
      <c r="J134" s="252">
        <v>383.93506100000002</v>
      </c>
      <c r="K134" s="252">
        <v>3519</v>
      </c>
      <c r="L134" s="252">
        <v>1881.2574000000002</v>
      </c>
      <c r="M134" s="252">
        <v>2265.1999999999998</v>
      </c>
      <c r="N134" s="125">
        <v>53600</v>
      </c>
      <c r="O134" s="41"/>
      <c r="P134" s="250" t="s">
        <v>169</v>
      </c>
      <c r="Q134" s="10" t="s">
        <v>248</v>
      </c>
      <c r="R134" s="41">
        <v>37</v>
      </c>
      <c r="S134" s="252">
        <v>83.6</v>
      </c>
      <c r="T134" s="41">
        <v>61280</v>
      </c>
      <c r="U134" s="41">
        <v>0</v>
      </c>
      <c r="V134" s="252">
        <v>0</v>
      </c>
      <c r="W134" s="41">
        <v>0</v>
      </c>
      <c r="X134" s="41">
        <v>0</v>
      </c>
      <c r="Y134" s="252">
        <v>0</v>
      </c>
      <c r="Z134" s="41">
        <v>0</v>
      </c>
      <c r="AA134" s="41">
        <v>61280</v>
      </c>
      <c r="AB134" s="41">
        <v>272459</v>
      </c>
      <c r="AC134" s="125">
        <v>0</v>
      </c>
    </row>
    <row r="135" spans="1:29" ht="15" customHeight="1" x14ac:dyDescent="0.2">
      <c r="A135" s="250" t="s">
        <v>129</v>
      </c>
      <c r="B135" s="10" t="s">
        <v>247</v>
      </c>
      <c r="C135" s="41">
        <v>37</v>
      </c>
      <c r="D135" s="41">
        <v>37</v>
      </c>
      <c r="E135" s="251">
        <v>1.0227959697733</v>
      </c>
      <c r="F135" s="252">
        <v>37.799999999999997</v>
      </c>
      <c r="G135" s="41">
        <v>94889</v>
      </c>
      <c r="H135" s="41">
        <v>317979</v>
      </c>
      <c r="I135" s="41">
        <v>0</v>
      </c>
      <c r="J135" s="252">
        <v>0</v>
      </c>
      <c r="K135" s="252">
        <v>200</v>
      </c>
      <c r="L135" s="252">
        <v>282.39999999999998</v>
      </c>
      <c r="M135" s="252">
        <v>282.39999999999998</v>
      </c>
      <c r="N135" s="125">
        <v>6682</v>
      </c>
      <c r="O135" s="41"/>
      <c r="P135" s="250" t="s">
        <v>129</v>
      </c>
      <c r="Q135" s="10" t="s">
        <v>247</v>
      </c>
      <c r="R135" s="41">
        <v>0</v>
      </c>
      <c r="S135" s="252">
        <v>0</v>
      </c>
      <c r="T135" s="41">
        <v>0</v>
      </c>
      <c r="U135" s="41">
        <v>846</v>
      </c>
      <c r="V135" s="252">
        <v>1048.3</v>
      </c>
      <c r="W135" s="41">
        <v>9743</v>
      </c>
      <c r="X135" s="41">
        <v>1599.0714285714284</v>
      </c>
      <c r="Y135" s="252">
        <v>2711.8</v>
      </c>
      <c r="Z135" s="41">
        <v>14215</v>
      </c>
      <c r="AA135" s="41">
        <v>23958</v>
      </c>
      <c r="AB135" s="41">
        <v>348619</v>
      </c>
      <c r="AC135" s="125">
        <v>27144</v>
      </c>
    </row>
    <row r="136" spans="1:29" ht="15" customHeight="1" x14ac:dyDescent="0.2">
      <c r="A136" s="250" t="s">
        <v>170</v>
      </c>
      <c r="B136" s="10" t="s">
        <v>245</v>
      </c>
      <c r="C136" s="41">
        <v>5</v>
      </c>
      <c r="D136" s="41">
        <v>0</v>
      </c>
      <c r="E136" s="251">
        <v>0.76229999999999998</v>
      </c>
      <c r="F136" s="252">
        <v>3.8</v>
      </c>
      <c r="G136" s="41">
        <v>0</v>
      </c>
      <c r="H136" s="41">
        <v>22427</v>
      </c>
      <c r="I136" s="41">
        <v>5</v>
      </c>
      <c r="J136" s="252">
        <v>76.982399999999998</v>
      </c>
      <c r="K136" s="252">
        <v>600</v>
      </c>
      <c r="L136" s="252">
        <v>461.09250000000003</v>
      </c>
      <c r="M136" s="252">
        <v>397.7</v>
      </c>
      <c r="N136" s="125">
        <v>9410</v>
      </c>
      <c r="O136" s="41"/>
      <c r="P136" s="250" t="s">
        <v>170</v>
      </c>
      <c r="Q136" s="10" t="s">
        <v>245</v>
      </c>
      <c r="R136" s="41">
        <v>8</v>
      </c>
      <c r="S136" s="252">
        <v>17.5</v>
      </c>
      <c r="T136" s="41">
        <v>12828</v>
      </c>
      <c r="U136" s="41">
        <v>0</v>
      </c>
      <c r="V136" s="252">
        <v>0</v>
      </c>
      <c r="W136" s="41">
        <v>0</v>
      </c>
      <c r="X136" s="41">
        <v>0</v>
      </c>
      <c r="Y136" s="252">
        <v>0</v>
      </c>
      <c r="Z136" s="41">
        <v>0</v>
      </c>
      <c r="AA136" s="41">
        <v>12828</v>
      </c>
      <c r="AB136" s="41">
        <v>44665</v>
      </c>
      <c r="AC136" s="125">
        <v>1342</v>
      </c>
    </row>
    <row r="137" spans="1:29" ht="15" customHeight="1" x14ac:dyDescent="0.2">
      <c r="A137" s="250" t="s">
        <v>130</v>
      </c>
      <c r="B137" s="10" t="s">
        <v>244</v>
      </c>
      <c r="C137" s="41">
        <v>1171</v>
      </c>
      <c r="D137" s="41">
        <v>360</v>
      </c>
      <c r="E137" s="251">
        <v>0.86117896208940192</v>
      </c>
      <c r="F137" s="252">
        <v>1008.4</v>
      </c>
      <c r="G137" s="41">
        <v>230000</v>
      </c>
      <c r="H137" s="41">
        <v>6181420</v>
      </c>
      <c r="I137" s="41">
        <v>740</v>
      </c>
      <c r="J137" s="252">
        <v>19750.376639000002</v>
      </c>
      <c r="K137" s="252">
        <v>116143.92857145</v>
      </c>
      <c r="L137" s="252">
        <v>76614.194514297182</v>
      </c>
      <c r="M137" s="252">
        <v>96364.6</v>
      </c>
      <c r="N137" s="125">
        <v>2280206</v>
      </c>
      <c r="O137" s="41"/>
      <c r="P137" s="250" t="s">
        <v>130</v>
      </c>
      <c r="Q137" s="10" t="s">
        <v>244</v>
      </c>
      <c r="R137" s="41">
        <v>524</v>
      </c>
      <c r="S137" s="252">
        <v>1514.8</v>
      </c>
      <c r="T137" s="41">
        <v>1110369</v>
      </c>
      <c r="U137" s="41">
        <v>9072.6768402154394</v>
      </c>
      <c r="V137" s="252">
        <v>11096.4</v>
      </c>
      <c r="W137" s="41">
        <v>103128</v>
      </c>
      <c r="X137" s="41">
        <v>22349.006202428242</v>
      </c>
      <c r="Y137" s="252">
        <v>57979.7</v>
      </c>
      <c r="Z137" s="41">
        <v>303934</v>
      </c>
      <c r="AA137" s="41">
        <v>1517431</v>
      </c>
      <c r="AB137" s="41">
        <v>9979057</v>
      </c>
      <c r="AC137" s="125">
        <v>444662</v>
      </c>
    </row>
    <row r="138" spans="1:29" ht="15" customHeight="1" x14ac:dyDescent="0.2">
      <c r="A138" s="250" t="s">
        <v>131</v>
      </c>
      <c r="B138" s="10" t="s">
        <v>243</v>
      </c>
      <c r="C138" s="41">
        <v>320</v>
      </c>
      <c r="D138" s="41">
        <v>18</v>
      </c>
      <c r="E138" s="251">
        <v>1.1542896959572388</v>
      </c>
      <c r="F138" s="252">
        <v>369.4</v>
      </c>
      <c r="G138" s="41">
        <v>0</v>
      </c>
      <c r="H138" s="41">
        <v>2180142</v>
      </c>
      <c r="I138" s="41">
        <v>84</v>
      </c>
      <c r="J138" s="252">
        <v>4166.8972560000002</v>
      </c>
      <c r="K138" s="252">
        <v>13296.5</v>
      </c>
      <c r="L138" s="252">
        <v>14579.258099999995</v>
      </c>
      <c r="M138" s="252">
        <v>18746.2</v>
      </c>
      <c r="N138" s="125">
        <v>443578</v>
      </c>
      <c r="O138" s="41"/>
      <c r="P138" s="250" t="s">
        <v>131</v>
      </c>
      <c r="Q138" s="10" t="s">
        <v>243</v>
      </c>
      <c r="R138" s="41">
        <v>72</v>
      </c>
      <c r="S138" s="252">
        <v>271</v>
      </c>
      <c r="T138" s="41">
        <v>198647</v>
      </c>
      <c r="U138" s="41">
        <v>2029</v>
      </c>
      <c r="V138" s="252">
        <v>2583.1</v>
      </c>
      <c r="W138" s="41">
        <v>24007</v>
      </c>
      <c r="X138" s="41">
        <v>6327.9248057130853</v>
      </c>
      <c r="Y138" s="252">
        <v>12323.2</v>
      </c>
      <c r="Z138" s="41">
        <v>64599</v>
      </c>
      <c r="AA138" s="41">
        <v>287253</v>
      </c>
      <c r="AB138" s="41">
        <v>2910973</v>
      </c>
      <c r="AC138" s="125">
        <v>139000</v>
      </c>
    </row>
    <row r="139" spans="1:29" ht="15" customHeight="1" x14ac:dyDescent="0.2">
      <c r="A139" s="250" t="s">
        <v>132</v>
      </c>
      <c r="B139" s="10" t="s">
        <v>242</v>
      </c>
      <c r="C139" s="41">
        <v>5089</v>
      </c>
      <c r="D139" s="41">
        <v>85</v>
      </c>
      <c r="E139" s="251">
        <v>0.98272576163675673</v>
      </c>
      <c r="F139" s="252">
        <v>5001.1000000000004</v>
      </c>
      <c r="G139" s="41">
        <v>140000</v>
      </c>
      <c r="H139" s="41">
        <v>29655717</v>
      </c>
      <c r="I139" s="41">
        <v>2025</v>
      </c>
      <c r="J139" s="252">
        <v>99772.526855000018</v>
      </c>
      <c r="K139" s="252">
        <v>343128.64285715</v>
      </c>
      <c r="L139" s="252">
        <v>303204.84397143236</v>
      </c>
      <c r="M139" s="252">
        <v>402977.4</v>
      </c>
      <c r="N139" s="125">
        <v>9535363</v>
      </c>
      <c r="O139" s="41"/>
      <c r="P139" s="250" t="s">
        <v>132</v>
      </c>
      <c r="Q139" s="10" t="s">
        <v>242</v>
      </c>
      <c r="R139" s="41">
        <v>1412</v>
      </c>
      <c r="S139" s="252">
        <v>5090.3</v>
      </c>
      <c r="T139" s="41">
        <v>3731259</v>
      </c>
      <c r="U139" s="41">
        <v>28105</v>
      </c>
      <c r="V139" s="252">
        <v>35925.300000000003</v>
      </c>
      <c r="W139" s="41">
        <v>333884</v>
      </c>
      <c r="X139" s="41">
        <v>70558.839358436642</v>
      </c>
      <c r="Y139" s="252">
        <v>148030.39999999999</v>
      </c>
      <c r="Z139" s="41">
        <v>775985</v>
      </c>
      <c r="AA139" s="41">
        <v>4841128</v>
      </c>
      <c r="AB139" s="41">
        <v>44032208</v>
      </c>
      <c r="AC139" s="125">
        <v>0</v>
      </c>
    </row>
    <row r="140" spans="1:29" ht="15" customHeight="1" x14ac:dyDescent="0.2">
      <c r="A140" s="250" t="s">
        <v>134</v>
      </c>
      <c r="B140" s="10" t="s">
        <v>241</v>
      </c>
      <c r="C140" s="41">
        <v>234</v>
      </c>
      <c r="D140" s="41">
        <v>0</v>
      </c>
      <c r="E140" s="251">
        <v>1.0126169556453382</v>
      </c>
      <c r="F140" s="252">
        <v>237</v>
      </c>
      <c r="G140" s="41">
        <v>10000</v>
      </c>
      <c r="H140" s="41">
        <v>1408737</v>
      </c>
      <c r="I140" s="41">
        <v>107</v>
      </c>
      <c r="J140" s="252">
        <v>4457.8162149999998</v>
      </c>
      <c r="K140" s="252">
        <v>18961.5</v>
      </c>
      <c r="L140" s="252">
        <v>16548.482499999998</v>
      </c>
      <c r="M140" s="252">
        <v>21006.3</v>
      </c>
      <c r="N140" s="125">
        <v>497057</v>
      </c>
      <c r="O140" s="41"/>
      <c r="P140" s="250" t="s">
        <v>134</v>
      </c>
      <c r="Q140" s="10" t="s">
        <v>241</v>
      </c>
      <c r="R140" s="41">
        <v>80</v>
      </c>
      <c r="S140" s="252">
        <v>237.4</v>
      </c>
      <c r="T140" s="41">
        <v>174017</v>
      </c>
      <c r="U140" s="41">
        <v>1883</v>
      </c>
      <c r="V140" s="252">
        <v>2381.1</v>
      </c>
      <c r="W140" s="41">
        <v>22130</v>
      </c>
      <c r="X140" s="41">
        <v>5734</v>
      </c>
      <c r="Y140" s="252">
        <v>18166.599999999999</v>
      </c>
      <c r="Z140" s="41">
        <v>95231</v>
      </c>
      <c r="AA140" s="41">
        <v>291378</v>
      </c>
      <c r="AB140" s="41">
        <v>2197172</v>
      </c>
      <c r="AC140" s="125">
        <v>118830</v>
      </c>
    </row>
    <row r="141" spans="1:29" ht="15" customHeight="1" x14ac:dyDescent="0.2">
      <c r="A141" s="250" t="s">
        <v>447</v>
      </c>
      <c r="B141" s="10" t="s">
        <v>446</v>
      </c>
      <c r="C141" s="41">
        <v>84</v>
      </c>
      <c r="D141" s="41">
        <v>0</v>
      </c>
      <c r="E141" s="251">
        <v>1.5787943774818158</v>
      </c>
      <c r="F141" s="252">
        <v>132.6</v>
      </c>
      <c r="G141" s="41">
        <v>10000</v>
      </c>
      <c r="H141" s="41">
        <v>792585</v>
      </c>
      <c r="I141" s="41">
        <v>34</v>
      </c>
      <c r="J141" s="252">
        <v>3377.1578399999999</v>
      </c>
      <c r="K141" s="252">
        <v>7202</v>
      </c>
      <c r="L141" s="252">
        <v>10542.49</v>
      </c>
      <c r="M141" s="252">
        <v>13919.6</v>
      </c>
      <c r="N141" s="125">
        <v>329369</v>
      </c>
      <c r="O141" s="41"/>
      <c r="P141" s="250" t="s">
        <v>447</v>
      </c>
      <c r="Q141" s="10" t="s">
        <v>446</v>
      </c>
      <c r="R141" s="41">
        <v>28</v>
      </c>
      <c r="S141" s="252">
        <v>86.5</v>
      </c>
      <c r="T141" s="41">
        <v>63406</v>
      </c>
      <c r="U141" s="41">
        <v>758</v>
      </c>
      <c r="V141" s="252">
        <v>871.7</v>
      </c>
      <c r="W141" s="41">
        <v>8101</v>
      </c>
      <c r="X141" s="41">
        <v>712</v>
      </c>
      <c r="Y141" s="252">
        <v>2670</v>
      </c>
      <c r="Z141" s="41">
        <v>13996</v>
      </c>
      <c r="AA141" s="41">
        <v>85503</v>
      </c>
      <c r="AB141" s="41">
        <v>1207457</v>
      </c>
      <c r="AC141" s="125">
        <v>25470</v>
      </c>
    </row>
    <row r="142" spans="1:29" ht="15" customHeight="1" x14ac:dyDescent="0.2">
      <c r="A142" s="250" t="s">
        <v>149</v>
      </c>
      <c r="B142" s="10" t="s">
        <v>308</v>
      </c>
      <c r="C142" s="41">
        <v>28</v>
      </c>
      <c r="D142" s="41">
        <v>0</v>
      </c>
      <c r="E142" s="251">
        <v>0.76229999999999964</v>
      </c>
      <c r="F142" s="252">
        <v>21.3</v>
      </c>
      <c r="G142" s="41">
        <v>0</v>
      </c>
      <c r="H142" s="41">
        <v>125709</v>
      </c>
      <c r="I142" s="41">
        <v>51</v>
      </c>
      <c r="J142" s="252">
        <v>1270.2079670000001</v>
      </c>
      <c r="K142" s="252">
        <v>3360</v>
      </c>
      <c r="L142" s="252">
        <v>5653.3950000000004</v>
      </c>
      <c r="M142" s="252">
        <v>3066.5</v>
      </c>
      <c r="N142" s="125">
        <v>72560</v>
      </c>
      <c r="O142" s="41"/>
      <c r="P142" s="250" t="s">
        <v>149</v>
      </c>
      <c r="Q142" s="10" t="s">
        <v>308</v>
      </c>
      <c r="R142" s="41">
        <v>0</v>
      </c>
      <c r="S142" s="252">
        <v>0</v>
      </c>
      <c r="T142" s="41">
        <v>0</v>
      </c>
      <c r="U142" s="41">
        <v>46</v>
      </c>
      <c r="V142" s="252">
        <v>51.3</v>
      </c>
      <c r="W142" s="41">
        <v>477</v>
      </c>
      <c r="X142" s="41">
        <v>505</v>
      </c>
      <c r="Y142" s="252">
        <v>1871.3</v>
      </c>
      <c r="Z142" s="41">
        <v>9809</v>
      </c>
      <c r="AA142" s="41">
        <v>10286</v>
      </c>
      <c r="AB142" s="41">
        <v>208555</v>
      </c>
      <c r="AC142" s="125">
        <v>12683</v>
      </c>
    </row>
    <row r="143" spans="1:29" ht="15" customHeight="1" x14ac:dyDescent="0.2">
      <c r="A143" s="250" t="s">
        <v>135</v>
      </c>
      <c r="B143" s="10" t="s">
        <v>240</v>
      </c>
      <c r="C143" s="41">
        <v>1292</v>
      </c>
      <c r="D143" s="41">
        <v>250</v>
      </c>
      <c r="E143" s="251">
        <v>1.1952786067435588</v>
      </c>
      <c r="F143" s="252">
        <v>1544.3</v>
      </c>
      <c r="G143" s="41">
        <v>170000</v>
      </c>
      <c r="H143" s="41">
        <v>9284219</v>
      </c>
      <c r="I143" s="41">
        <v>536</v>
      </c>
      <c r="J143" s="252">
        <v>23428.994304</v>
      </c>
      <c r="K143" s="252">
        <v>112971.5</v>
      </c>
      <c r="L143" s="252">
        <v>119748.95630000001</v>
      </c>
      <c r="M143" s="252">
        <v>143178</v>
      </c>
      <c r="N143" s="125">
        <v>3387917</v>
      </c>
      <c r="O143" s="41"/>
      <c r="P143" s="250" t="s">
        <v>135</v>
      </c>
      <c r="Q143" s="10" t="s">
        <v>240</v>
      </c>
      <c r="R143" s="41">
        <v>457</v>
      </c>
      <c r="S143" s="252">
        <v>1266.9000000000001</v>
      </c>
      <c r="T143" s="41">
        <v>928655</v>
      </c>
      <c r="U143" s="41">
        <v>9851.1589403973503</v>
      </c>
      <c r="V143" s="252">
        <v>12360</v>
      </c>
      <c r="W143" s="41">
        <v>114872</v>
      </c>
      <c r="X143" s="41">
        <v>18454.010333963455</v>
      </c>
      <c r="Y143" s="252">
        <v>32964.9</v>
      </c>
      <c r="Z143" s="41">
        <v>172804</v>
      </c>
      <c r="AA143" s="41">
        <v>1216331</v>
      </c>
      <c r="AB143" s="41">
        <v>13888467</v>
      </c>
      <c r="AC143" s="125">
        <v>969851</v>
      </c>
    </row>
    <row r="144" spans="1:29" ht="15" customHeight="1" x14ac:dyDescent="0.2">
      <c r="A144" s="250" t="s">
        <v>184</v>
      </c>
      <c r="B144" s="10" t="s">
        <v>239</v>
      </c>
      <c r="C144" s="41">
        <v>5</v>
      </c>
      <c r="D144" s="41">
        <v>0</v>
      </c>
      <c r="E144" s="251">
        <v>0.8600000000000001</v>
      </c>
      <c r="F144" s="252">
        <v>4.3</v>
      </c>
      <c r="G144" s="41">
        <v>0</v>
      </c>
      <c r="H144" s="41">
        <v>25378</v>
      </c>
      <c r="I144" s="41">
        <v>0</v>
      </c>
      <c r="J144" s="252">
        <v>0</v>
      </c>
      <c r="K144" s="252">
        <v>0</v>
      </c>
      <c r="L144" s="252">
        <v>0</v>
      </c>
      <c r="M144" s="252">
        <v>0</v>
      </c>
      <c r="N144" s="125">
        <v>0</v>
      </c>
      <c r="O144" s="41"/>
      <c r="P144" s="250" t="s">
        <v>184</v>
      </c>
      <c r="Q144" s="10" t="s">
        <v>239</v>
      </c>
      <c r="R144" s="41">
        <v>0</v>
      </c>
      <c r="S144" s="252">
        <v>0</v>
      </c>
      <c r="T144" s="41">
        <v>0</v>
      </c>
      <c r="U144" s="41">
        <v>0</v>
      </c>
      <c r="V144" s="252">
        <v>0</v>
      </c>
      <c r="W144" s="41">
        <v>0</v>
      </c>
      <c r="X144" s="41">
        <v>0</v>
      </c>
      <c r="Y144" s="252">
        <v>0</v>
      </c>
      <c r="Z144" s="41">
        <v>0</v>
      </c>
      <c r="AA144" s="41">
        <v>0</v>
      </c>
      <c r="AB144" s="41">
        <v>25378</v>
      </c>
      <c r="AC144" s="125">
        <v>0</v>
      </c>
    </row>
    <row r="145" spans="1:29" ht="15" customHeight="1" x14ac:dyDescent="0.2">
      <c r="A145" s="250" t="s">
        <v>177</v>
      </c>
      <c r="B145" s="10" t="s">
        <v>238</v>
      </c>
      <c r="C145" s="41">
        <v>40</v>
      </c>
      <c r="D145" s="41">
        <v>0</v>
      </c>
      <c r="E145" s="251">
        <v>0.43</v>
      </c>
      <c r="F145" s="252">
        <v>17.2</v>
      </c>
      <c r="G145" s="41">
        <v>20000</v>
      </c>
      <c r="H145" s="41">
        <v>121512</v>
      </c>
      <c r="I145" s="41">
        <v>0</v>
      </c>
      <c r="J145" s="252">
        <v>0</v>
      </c>
      <c r="K145" s="252">
        <v>0</v>
      </c>
      <c r="L145" s="252">
        <v>0</v>
      </c>
      <c r="M145" s="252">
        <v>0</v>
      </c>
      <c r="N145" s="125">
        <v>0</v>
      </c>
      <c r="O145" s="41"/>
      <c r="P145" s="250" t="s">
        <v>177</v>
      </c>
      <c r="Q145" s="10" t="s">
        <v>238</v>
      </c>
      <c r="R145" s="41">
        <v>0</v>
      </c>
      <c r="S145" s="252">
        <v>0</v>
      </c>
      <c r="T145" s="41">
        <v>0</v>
      </c>
      <c r="U145" s="41">
        <v>0</v>
      </c>
      <c r="V145" s="252">
        <v>0</v>
      </c>
      <c r="W145" s="41">
        <v>0</v>
      </c>
      <c r="X145" s="41">
        <v>0</v>
      </c>
      <c r="Y145" s="252">
        <v>0</v>
      </c>
      <c r="Z145" s="41">
        <v>0</v>
      </c>
      <c r="AA145" s="41">
        <v>0</v>
      </c>
      <c r="AB145" s="41">
        <v>121512</v>
      </c>
      <c r="AC145" s="125">
        <v>113902</v>
      </c>
    </row>
    <row r="146" spans="1:29" ht="15" customHeight="1" x14ac:dyDescent="0.2">
      <c r="A146" s="250" t="s">
        <v>136</v>
      </c>
      <c r="B146" s="10" t="s">
        <v>237</v>
      </c>
      <c r="C146" s="41">
        <v>2610</v>
      </c>
      <c r="D146" s="41">
        <v>100</v>
      </c>
      <c r="E146" s="251">
        <v>1.004020735391344</v>
      </c>
      <c r="F146" s="252">
        <v>2620.5</v>
      </c>
      <c r="G146" s="41">
        <v>0</v>
      </c>
      <c r="H146" s="41">
        <v>15465785</v>
      </c>
      <c r="I146" s="41">
        <v>1094</v>
      </c>
      <c r="J146" s="252">
        <v>50764.665367000038</v>
      </c>
      <c r="K146" s="252">
        <v>152534.00000001999</v>
      </c>
      <c r="L146" s="252">
        <v>131723.05160001072</v>
      </c>
      <c r="M146" s="252">
        <v>182487.7</v>
      </c>
      <c r="N146" s="125">
        <v>4318074</v>
      </c>
      <c r="O146" s="41"/>
      <c r="P146" s="250" t="s">
        <v>136</v>
      </c>
      <c r="Q146" s="10" t="s">
        <v>237</v>
      </c>
      <c r="R146" s="41">
        <v>984</v>
      </c>
      <c r="S146" s="252">
        <v>3164.1</v>
      </c>
      <c r="T146" s="41">
        <v>2319328</v>
      </c>
      <c r="U146" s="41">
        <v>8515.7175572519081</v>
      </c>
      <c r="V146" s="252">
        <v>8580.7999999999993</v>
      </c>
      <c r="W146" s="41">
        <v>79748</v>
      </c>
      <c r="X146" s="41">
        <v>34306.49525558616</v>
      </c>
      <c r="Y146" s="252">
        <v>71516.899999999994</v>
      </c>
      <c r="Z146" s="41">
        <v>374896</v>
      </c>
      <c r="AA146" s="41">
        <v>2773972</v>
      </c>
      <c r="AB146" s="41">
        <v>22557831</v>
      </c>
      <c r="AC146" s="125">
        <v>0</v>
      </c>
    </row>
    <row r="147" spans="1:29" ht="15" customHeight="1" x14ac:dyDescent="0.2">
      <c r="A147" s="250" t="s">
        <v>137</v>
      </c>
      <c r="B147" s="10" t="s">
        <v>236</v>
      </c>
      <c r="C147" s="41">
        <v>1055</v>
      </c>
      <c r="D147" s="41">
        <v>30</v>
      </c>
      <c r="E147" s="251">
        <v>0.98672504152095963</v>
      </c>
      <c r="F147" s="252">
        <v>1041</v>
      </c>
      <c r="G147" s="41">
        <v>0</v>
      </c>
      <c r="H147" s="41">
        <v>6143821</v>
      </c>
      <c r="I147" s="41">
        <v>496</v>
      </c>
      <c r="J147" s="252">
        <v>23025.404577999998</v>
      </c>
      <c r="K147" s="252">
        <v>79095</v>
      </c>
      <c r="L147" s="252">
        <v>69952.549699999989</v>
      </c>
      <c r="M147" s="252">
        <v>92978</v>
      </c>
      <c r="N147" s="125">
        <v>2200071</v>
      </c>
      <c r="O147" s="41"/>
      <c r="P147" s="250" t="s">
        <v>137</v>
      </c>
      <c r="Q147" s="10" t="s">
        <v>236</v>
      </c>
      <c r="R147" s="41">
        <v>266</v>
      </c>
      <c r="S147" s="252">
        <v>1100.2</v>
      </c>
      <c r="T147" s="41">
        <v>806461</v>
      </c>
      <c r="U147" s="41">
        <v>7305.5399061032867</v>
      </c>
      <c r="V147" s="252">
        <v>9347.4</v>
      </c>
      <c r="W147" s="41">
        <v>86873</v>
      </c>
      <c r="X147" s="41">
        <v>23418.108288575993</v>
      </c>
      <c r="Y147" s="252">
        <v>47154.400000000001</v>
      </c>
      <c r="Z147" s="41">
        <v>247187</v>
      </c>
      <c r="AA147" s="41">
        <v>1140521</v>
      </c>
      <c r="AB147" s="41">
        <v>9484413</v>
      </c>
      <c r="AC147" s="125">
        <v>0</v>
      </c>
    </row>
    <row r="148" spans="1:29" ht="15" customHeight="1" x14ac:dyDescent="0.2">
      <c r="A148" s="250" t="s">
        <v>138</v>
      </c>
      <c r="B148" s="10" t="s">
        <v>235</v>
      </c>
      <c r="C148" s="41">
        <v>17</v>
      </c>
      <c r="D148" s="41">
        <v>0</v>
      </c>
      <c r="E148" s="251">
        <v>0.84241283738708694</v>
      </c>
      <c r="F148" s="252">
        <v>14.3</v>
      </c>
      <c r="G148" s="41">
        <v>4000</v>
      </c>
      <c r="H148" s="41">
        <v>88396</v>
      </c>
      <c r="I148" s="41">
        <v>0</v>
      </c>
      <c r="J148" s="252">
        <v>0</v>
      </c>
      <c r="K148" s="252">
        <v>375</v>
      </c>
      <c r="L148" s="252">
        <v>200.47500000000002</v>
      </c>
      <c r="M148" s="252">
        <v>200.5</v>
      </c>
      <c r="N148" s="125">
        <v>4744</v>
      </c>
      <c r="O148" s="41"/>
      <c r="P148" s="250" t="s">
        <v>138</v>
      </c>
      <c r="Q148" s="10" t="s">
        <v>235</v>
      </c>
      <c r="R148" s="41">
        <v>14</v>
      </c>
      <c r="S148" s="252">
        <v>53.5</v>
      </c>
      <c r="T148" s="41">
        <v>39216</v>
      </c>
      <c r="U148" s="41">
        <v>240</v>
      </c>
      <c r="V148" s="252">
        <v>256</v>
      </c>
      <c r="W148" s="41">
        <v>2379</v>
      </c>
      <c r="X148" s="41">
        <v>1143</v>
      </c>
      <c r="Y148" s="252">
        <v>3755.6</v>
      </c>
      <c r="Z148" s="41">
        <v>19687</v>
      </c>
      <c r="AA148" s="41">
        <v>61282</v>
      </c>
      <c r="AB148" s="41">
        <v>154422</v>
      </c>
      <c r="AC148" s="125">
        <v>0</v>
      </c>
    </row>
    <row r="149" spans="1:29" ht="15" customHeight="1" x14ac:dyDescent="0.2">
      <c r="A149" s="250" t="s">
        <v>178</v>
      </c>
      <c r="B149" s="10" t="s">
        <v>233</v>
      </c>
      <c r="C149" s="41">
        <v>0</v>
      </c>
      <c r="D149" s="41">
        <v>0</v>
      </c>
      <c r="E149" s="251">
        <v>0</v>
      </c>
      <c r="F149" s="252">
        <v>0</v>
      </c>
      <c r="G149" s="41">
        <v>0</v>
      </c>
      <c r="H149" s="41">
        <v>0</v>
      </c>
      <c r="I149" s="41">
        <v>0</v>
      </c>
      <c r="J149" s="252">
        <v>0</v>
      </c>
      <c r="K149" s="252">
        <v>0</v>
      </c>
      <c r="L149" s="252">
        <v>0</v>
      </c>
      <c r="M149" s="252">
        <v>0</v>
      </c>
      <c r="N149" s="125">
        <v>0</v>
      </c>
      <c r="O149" s="41"/>
      <c r="P149" s="250" t="s">
        <v>178</v>
      </c>
      <c r="Q149" s="10" t="s">
        <v>233</v>
      </c>
      <c r="R149" s="41">
        <v>0</v>
      </c>
      <c r="S149" s="252">
        <v>0</v>
      </c>
      <c r="T149" s="41">
        <v>0</v>
      </c>
      <c r="U149" s="41">
        <v>0</v>
      </c>
      <c r="V149" s="252">
        <v>0</v>
      </c>
      <c r="W149" s="41">
        <v>0</v>
      </c>
      <c r="X149" s="41">
        <v>0</v>
      </c>
      <c r="Y149" s="252">
        <v>0</v>
      </c>
      <c r="Z149" s="41">
        <v>0</v>
      </c>
      <c r="AA149" s="41">
        <v>0</v>
      </c>
      <c r="AB149" s="41">
        <v>0</v>
      </c>
      <c r="AC149" s="125">
        <v>0</v>
      </c>
    </row>
    <row r="150" spans="1:29" ht="15" customHeight="1" x14ac:dyDescent="0.2">
      <c r="A150" s="250" t="s">
        <v>139</v>
      </c>
      <c r="B150" s="10" t="s">
        <v>231</v>
      </c>
      <c r="C150" s="41">
        <v>173</v>
      </c>
      <c r="D150" s="41">
        <v>0</v>
      </c>
      <c r="E150" s="251">
        <v>1.4781056053298072</v>
      </c>
      <c r="F150" s="252">
        <v>255.7</v>
      </c>
      <c r="G150" s="41">
        <v>5000</v>
      </c>
      <c r="H150" s="41">
        <v>1514102</v>
      </c>
      <c r="I150" s="41">
        <v>90</v>
      </c>
      <c r="J150" s="252">
        <v>7223.88789</v>
      </c>
      <c r="K150" s="252">
        <v>15935.5</v>
      </c>
      <c r="L150" s="252">
        <v>19606.450499999999</v>
      </c>
      <c r="M150" s="252">
        <v>26830.3</v>
      </c>
      <c r="N150" s="125">
        <v>634866</v>
      </c>
      <c r="O150" s="41"/>
      <c r="P150" s="250" t="s">
        <v>139</v>
      </c>
      <c r="Q150" s="10" t="s">
        <v>231</v>
      </c>
      <c r="R150" s="41">
        <v>29</v>
      </c>
      <c r="S150" s="252">
        <v>94.1</v>
      </c>
      <c r="T150" s="41">
        <v>68977</v>
      </c>
      <c r="U150" s="41">
        <v>1063</v>
      </c>
      <c r="V150" s="252">
        <v>1359</v>
      </c>
      <c r="W150" s="41">
        <v>12630</v>
      </c>
      <c r="X150" s="41">
        <v>1536</v>
      </c>
      <c r="Y150" s="252">
        <v>5805</v>
      </c>
      <c r="Z150" s="41">
        <v>30430</v>
      </c>
      <c r="AA150" s="41">
        <v>112037</v>
      </c>
      <c r="AB150" s="41">
        <v>2261005</v>
      </c>
      <c r="AC150" s="125">
        <v>105869</v>
      </c>
    </row>
    <row r="151" spans="1:29" ht="15" customHeight="1" x14ac:dyDescent="0.2">
      <c r="A151" s="250" t="s">
        <v>140</v>
      </c>
      <c r="B151" s="10" t="s">
        <v>229</v>
      </c>
      <c r="C151" s="41">
        <v>3540</v>
      </c>
      <c r="D151" s="41">
        <v>80</v>
      </c>
      <c r="E151" s="251">
        <v>1.0505995195423898</v>
      </c>
      <c r="F151" s="252">
        <v>3719.1</v>
      </c>
      <c r="G151" s="41">
        <v>120000</v>
      </c>
      <c r="H151" s="41">
        <v>22069552</v>
      </c>
      <c r="I151" s="41">
        <v>1655</v>
      </c>
      <c r="J151" s="252">
        <v>96415.449475000001</v>
      </c>
      <c r="K151" s="252">
        <v>197340.50000003001</v>
      </c>
      <c r="L151" s="252">
        <v>193704.88150001602</v>
      </c>
      <c r="M151" s="252">
        <v>290120.3</v>
      </c>
      <c r="N151" s="125">
        <v>6864907</v>
      </c>
      <c r="O151" s="41"/>
      <c r="P151" s="250" t="s">
        <v>140</v>
      </c>
      <c r="Q151" s="10" t="s">
        <v>229</v>
      </c>
      <c r="R151" s="41">
        <v>833</v>
      </c>
      <c r="S151" s="252">
        <v>2882.5</v>
      </c>
      <c r="T151" s="41">
        <v>2112912</v>
      </c>
      <c r="U151" s="41">
        <v>20721</v>
      </c>
      <c r="V151" s="252">
        <v>26548.7</v>
      </c>
      <c r="W151" s="41">
        <v>246739</v>
      </c>
      <c r="X151" s="41">
        <v>47313.038548752833</v>
      </c>
      <c r="Y151" s="252">
        <v>115071.1</v>
      </c>
      <c r="Z151" s="41">
        <v>603210</v>
      </c>
      <c r="AA151" s="41">
        <v>2962861</v>
      </c>
      <c r="AB151" s="41">
        <v>31897320</v>
      </c>
      <c r="AC151" s="125">
        <v>0</v>
      </c>
    </row>
    <row r="152" spans="1:29" ht="15" customHeight="1" x14ac:dyDescent="0.2">
      <c r="A152" s="250" t="s">
        <v>141</v>
      </c>
      <c r="B152" s="10" t="s">
        <v>228</v>
      </c>
      <c r="C152" s="41">
        <v>158</v>
      </c>
      <c r="D152" s="41">
        <v>0</v>
      </c>
      <c r="E152" s="251">
        <v>1.3883744135258893</v>
      </c>
      <c r="F152" s="252">
        <v>219.4</v>
      </c>
      <c r="G152" s="41">
        <v>0</v>
      </c>
      <c r="H152" s="41">
        <v>1294865</v>
      </c>
      <c r="I152" s="41">
        <v>68</v>
      </c>
      <c r="J152" s="252">
        <v>2766.1630949999999</v>
      </c>
      <c r="K152" s="252">
        <v>13437</v>
      </c>
      <c r="L152" s="252">
        <v>12469.32</v>
      </c>
      <c r="M152" s="252">
        <v>15235.5</v>
      </c>
      <c r="N152" s="125">
        <v>360507</v>
      </c>
      <c r="O152" s="41"/>
      <c r="P152" s="250" t="s">
        <v>141</v>
      </c>
      <c r="Q152" s="10" t="s">
        <v>228</v>
      </c>
      <c r="R152" s="41">
        <v>31</v>
      </c>
      <c r="S152" s="252">
        <v>107.4</v>
      </c>
      <c r="T152" s="41">
        <v>78726</v>
      </c>
      <c r="U152" s="41">
        <v>2191</v>
      </c>
      <c r="V152" s="252">
        <v>2720.5</v>
      </c>
      <c r="W152" s="41">
        <v>25284</v>
      </c>
      <c r="X152" s="41">
        <v>4425</v>
      </c>
      <c r="Y152" s="252">
        <v>16995.3</v>
      </c>
      <c r="Z152" s="41">
        <v>89091</v>
      </c>
      <c r="AA152" s="41">
        <v>193101</v>
      </c>
      <c r="AB152" s="41">
        <v>1848473</v>
      </c>
      <c r="AC152" s="125">
        <v>159971</v>
      </c>
    </row>
    <row r="153" spans="1:29" ht="15" customHeight="1" x14ac:dyDescent="0.2">
      <c r="A153" s="250" t="s">
        <v>180</v>
      </c>
      <c r="B153" s="10" t="s">
        <v>223</v>
      </c>
      <c r="C153" s="41">
        <v>35</v>
      </c>
      <c r="D153" s="41">
        <v>0</v>
      </c>
      <c r="E153" s="251">
        <v>0.43</v>
      </c>
      <c r="F153" s="252">
        <v>15.1</v>
      </c>
      <c r="G153" s="41">
        <v>0</v>
      </c>
      <c r="H153" s="41">
        <v>89118</v>
      </c>
      <c r="I153" s="41">
        <v>0</v>
      </c>
      <c r="J153" s="252">
        <v>0</v>
      </c>
      <c r="K153" s="252">
        <v>0</v>
      </c>
      <c r="L153" s="252">
        <v>0</v>
      </c>
      <c r="M153" s="252">
        <v>0</v>
      </c>
      <c r="N153" s="125">
        <v>0</v>
      </c>
      <c r="O153" s="41"/>
      <c r="P153" s="250" t="s">
        <v>180</v>
      </c>
      <c r="Q153" s="10" t="s">
        <v>223</v>
      </c>
      <c r="R153" s="41">
        <v>0</v>
      </c>
      <c r="S153" s="252">
        <v>0</v>
      </c>
      <c r="T153" s="41">
        <v>0</v>
      </c>
      <c r="U153" s="41">
        <v>0</v>
      </c>
      <c r="V153" s="252">
        <v>0</v>
      </c>
      <c r="W153" s="41">
        <v>0</v>
      </c>
      <c r="X153" s="41">
        <v>0</v>
      </c>
      <c r="Y153" s="252">
        <v>0</v>
      </c>
      <c r="Z153" s="41">
        <v>0</v>
      </c>
      <c r="AA153" s="41">
        <v>0</v>
      </c>
      <c r="AB153" s="41">
        <v>89118</v>
      </c>
      <c r="AC153" s="125">
        <v>0</v>
      </c>
    </row>
    <row r="154" spans="1:29" ht="15" customHeight="1" x14ac:dyDescent="0.2">
      <c r="A154" s="250" t="s">
        <v>142</v>
      </c>
      <c r="B154" s="10" t="s">
        <v>221</v>
      </c>
      <c r="C154" s="41">
        <v>1550</v>
      </c>
      <c r="D154" s="41">
        <v>95</v>
      </c>
      <c r="E154" s="251">
        <v>1.2126331794506511</v>
      </c>
      <c r="F154" s="252">
        <v>1879.6</v>
      </c>
      <c r="G154" s="41">
        <v>80000</v>
      </c>
      <c r="H154" s="41">
        <v>11173108</v>
      </c>
      <c r="I154" s="41">
        <v>807</v>
      </c>
      <c r="J154" s="252">
        <v>38003.633339</v>
      </c>
      <c r="K154" s="252">
        <v>128199.71428571</v>
      </c>
      <c r="L154" s="252">
        <v>128269.54625714058</v>
      </c>
      <c r="M154" s="252">
        <v>166273.20000000001</v>
      </c>
      <c r="N154" s="125">
        <v>3934402</v>
      </c>
      <c r="O154" s="41"/>
      <c r="P154" s="250" t="s">
        <v>142</v>
      </c>
      <c r="Q154" s="10" t="s">
        <v>221</v>
      </c>
      <c r="R154" s="41">
        <v>505</v>
      </c>
      <c r="S154" s="252">
        <v>1718.6</v>
      </c>
      <c r="T154" s="41">
        <v>1259757</v>
      </c>
      <c r="U154" s="41">
        <v>3844</v>
      </c>
      <c r="V154" s="252">
        <v>4462.5</v>
      </c>
      <c r="W154" s="41">
        <v>41474</v>
      </c>
      <c r="X154" s="41">
        <v>13202.912500000002</v>
      </c>
      <c r="Y154" s="252">
        <v>25617.1</v>
      </c>
      <c r="Z154" s="41">
        <v>134287</v>
      </c>
      <c r="AA154" s="41">
        <v>1435518</v>
      </c>
      <c r="AB154" s="41">
        <v>16543028</v>
      </c>
      <c r="AC154" s="125">
        <v>0</v>
      </c>
    </row>
    <row r="155" spans="1:29" ht="15" customHeight="1" x14ac:dyDescent="0.2">
      <c r="A155" s="250" t="s">
        <v>143</v>
      </c>
      <c r="B155" s="10" t="s">
        <v>219</v>
      </c>
      <c r="C155" s="41">
        <v>1622</v>
      </c>
      <c r="D155" s="41">
        <v>50</v>
      </c>
      <c r="E155" s="251">
        <v>1.0978055227326482</v>
      </c>
      <c r="F155" s="252">
        <v>1780.6</v>
      </c>
      <c r="G155" s="41">
        <v>80000</v>
      </c>
      <c r="H155" s="41">
        <v>10588825</v>
      </c>
      <c r="I155" s="41">
        <v>713</v>
      </c>
      <c r="J155" s="252">
        <v>33532.289218999998</v>
      </c>
      <c r="K155" s="252">
        <v>119184.5</v>
      </c>
      <c r="L155" s="252">
        <v>117491.56399999995</v>
      </c>
      <c r="M155" s="252">
        <v>151023.9</v>
      </c>
      <c r="N155" s="125">
        <v>3573569</v>
      </c>
      <c r="O155" s="41"/>
      <c r="P155" s="250" t="s">
        <v>143</v>
      </c>
      <c r="Q155" s="10" t="s">
        <v>219</v>
      </c>
      <c r="R155" s="41">
        <v>470</v>
      </c>
      <c r="S155" s="252">
        <v>1700.8</v>
      </c>
      <c r="T155" s="41">
        <v>1246709</v>
      </c>
      <c r="U155" s="41">
        <v>13092</v>
      </c>
      <c r="V155" s="252">
        <v>16478.3</v>
      </c>
      <c r="W155" s="41">
        <v>153146</v>
      </c>
      <c r="X155" s="41">
        <v>45791.005202913628</v>
      </c>
      <c r="Y155" s="252">
        <v>98580.2</v>
      </c>
      <c r="Z155" s="41">
        <v>516764</v>
      </c>
      <c r="AA155" s="41">
        <v>1916619</v>
      </c>
      <c r="AB155" s="41">
        <v>16079013</v>
      </c>
      <c r="AC155" s="125">
        <v>0</v>
      </c>
    </row>
    <row r="156" spans="1:29" ht="15" customHeight="1" x14ac:dyDescent="0.2">
      <c r="A156" s="253" t="s">
        <v>478</v>
      </c>
      <c r="B156" s="254"/>
      <c r="C156" s="228">
        <f>SUM(C6:C155)</f>
        <v>177586</v>
      </c>
      <c r="D156" s="228">
        <f>SUM(D6:D155)</f>
        <v>8350</v>
      </c>
      <c r="E156" s="255"/>
      <c r="F156" s="256">
        <f>SUM(F6:F155)</f>
        <v>201665.40000000002</v>
      </c>
      <c r="G156" s="228">
        <f>SUM(G6:G155)</f>
        <v>13409889</v>
      </c>
      <c r="H156" s="228">
        <f t="shared" ref="H156:N156" si="0">SUM(H6:H155)</f>
        <v>1203607813</v>
      </c>
      <c r="I156" s="228">
        <f t="shared" si="0"/>
        <v>79444</v>
      </c>
      <c r="J156" s="256">
        <f t="shared" si="0"/>
        <v>3846694.7654150012</v>
      </c>
      <c r="K156" s="256">
        <f t="shared" si="0"/>
        <v>12478249.414285909</v>
      </c>
      <c r="L156" s="256">
        <f t="shared" si="0"/>
        <v>11859686.03016438</v>
      </c>
      <c r="M156" s="256">
        <f t="shared" si="0"/>
        <v>15648409.599999994</v>
      </c>
      <c r="N156" s="230">
        <f t="shared" si="0"/>
        <v>370276995</v>
      </c>
      <c r="O156" s="257"/>
      <c r="P156" s="253" t="s">
        <v>478</v>
      </c>
      <c r="Q156" s="228"/>
      <c r="R156" s="228">
        <f t="shared" ref="R156:AC156" si="1">SUM(R6:R155)</f>
        <v>55229</v>
      </c>
      <c r="S156" s="256">
        <f t="shared" si="1"/>
        <v>189428.8</v>
      </c>
      <c r="T156" s="228">
        <f t="shared" si="1"/>
        <v>138853877</v>
      </c>
      <c r="U156" s="228">
        <f t="shared" si="1"/>
        <v>999721.07727594313</v>
      </c>
      <c r="V156" s="256">
        <f t="shared" si="1"/>
        <v>1244701.2000000002</v>
      </c>
      <c r="W156" s="228">
        <f t="shared" si="1"/>
        <v>11568034</v>
      </c>
      <c r="X156" s="228">
        <f t="shared" si="1"/>
        <v>3042371.6396591747</v>
      </c>
      <c r="Y156" s="256">
        <f t="shared" si="1"/>
        <v>6622094.8000000007</v>
      </c>
      <c r="Z156" s="228">
        <f t="shared" si="1"/>
        <v>34713465</v>
      </c>
      <c r="AA156" s="228">
        <f t="shared" si="1"/>
        <v>185135376</v>
      </c>
      <c r="AB156" s="228">
        <f t="shared" si="1"/>
        <v>1759020184</v>
      </c>
      <c r="AC156" s="230">
        <f t="shared" si="1"/>
        <v>30505275</v>
      </c>
    </row>
    <row r="157" spans="1:29" ht="1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</row>
    <row r="158" spans="1:29" ht="15" customHeight="1" x14ac:dyDescent="0.2"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</row>
  </sheetData>
  <mergeCells count="2">
    <mergeCell ref="A3:N3"/>
    <mergeCell ref="P3:AC3"/>
  </mergeCells>
  <pageMargins left="0.70866141732283472" right="0.70866141732283472" top="0.74803149606299213" bottom="0.74803149606299213" header="0.31496062992125984" footer="0.31496062992125984"/>
  <pageSetup paperSize="9" scale="62" fitToWidth="2" fitToHeight="3" pageOrder="overThenDown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>
    <tabColor theme="4" tint="0.59999389629810485"/>
  </sheetPr>
  <dimension ref="A2:V44"/>
  <sheetViews>
    <sheetView zoomScale="90" zoomScaleNormal="90" workbookViewId="0"/>
  </sheetViews>
  <sheetFormatPr defaultRowHeight="15" x14ac:dyDescent="0.25"/>
  <cols>
    <col min="1" max="6" width="4.42578125" customWidth="1"/>
    <col min="7" max="7" width="77.42578125" customWidth="1"/>
    <col min="8" max="13" width="14.7109375" customWidth="1"/>
    <col min="14" max="17" width="12.85546875" customWidth="1"/>
    <col min="18" max="18" width="13.5703125" customWidth="1"/>
    <col min="19" max="22" width="11" bestFit="1" customWidth="1"/>
  </cols>
  <sheetData>
    <row r="2" spans="1:22" x14ac:dyDescent="0.25">
      <c r="A2" s="22"/>
      <c r="S2" s="115"/>
      <c r="T2" s="115"/>
      <c r="U2" s="115"/>
      <c r="V2" s="115"/>
    </row>
    <row r="3" spans="1:22" x14ac:dyDescent="0.25">
      <c r="A3" s="50" t="s">
        <v>528</v>
      </c>
      <c r="S3" s="50"/>
      <c r="T3" s="50"/>
      <c r="U3" s="50"/>
    </row>
    <row r="4" spans="1:22" ht="45" x14ac:dyDescent="0.25">
      <c r="A4" s="62"/>
      <c r="B4" s="63"/>
      <c r="C4" s="63"/>
      <c r="D4" s="63"/>
      <c r="E4" s="63"/>
      <c r="F4" s="63"/>
      <c r="G4" s="64"/>
      <c r="H4" s="82" t="s">
        <v>204</v>
      </c>
      <c r="I4" s="82" t="s">
        <v>204</v>
      </c>
      <c r="J4" s="82" t="s">
        <v>204</v>
      </c>
      <c r="K4" s="82" t="s">
        <v>204</v>
      </c>
      <c r="L4" s="82" t="s">
        <v>204</v>
      </c>
      <c r="M4" s="82" t="s">
        <v>204</v>
      </c>
      <c r="N4" s="65" t="s">
        <v>410</v>
      </c>
      <c r="O4" s="66" t="s">
        <v>409</v>
      </c>
      <c r="P4" s="66" t="s">
        <v>406</v>
      </c>
      <c r="Q4" s="66" t="s">
        <v>407</v>
      </c>
      <c r="R4" s="67" t="s">
        <v>408</v>
      </c>
      <c r="S4" s="50"/>
      <c r="T4" s="50"/>
      <c r="U4" s="50"/>
    </row>
    <row r="5" spans="1:22" ht="15" customHeight="1" x14ac:dyDescent="0.25">
      <c r="A5" s="265" t="s">
        <v>575</v>
      </c>
      <c r="B5" s="266"/>
      <c r="C5" s="266"/>
      <c r="D5" s="266"/>
      <c r="E5" s="266"/>
      <c r="F5" s="266"/>
      <c r="G5" s="267"/>
      <c r="H5" s="86">
        <f>I6+H22</f>
        <v>1962505397</v>
      </c>
      <c r="I5" s="84"/>
      <c r="J5" s="84"/>
      <c r="K5" s="84"/>
      <c r="L5" s="84"/>
      <c r="M5" s="84"/>
      <c r="N5" s="102"/>
      <c r="O5" s="56"/>
      <c r="P5" s="103"/>
      <c r="Q5" s="103"/>
      <c r="R5" s="104"/>
      <c r="S5" s="50"/>
      <c r="T5" s="50"/>
      <c r="U5" s="50"/>
    </row>
    <row r="6" spans="1:22" ht="15" customHeight="1" x14ac:dyDescent="0.25">
      <c r="A6" s="79"/>
      <c r="B6" s="263" t="s">
        <v>576</v>
      </c>
      <c r="C6" s="263"/>
      <c r="D6" s="263"/>
      <c r="E6" s="263"/>
      <c r="F6" s="263"/>
      <c r="G6" s="264"/>
      <c r="H6" s="85"/>
      <c r="I6" s="94">
        <v>1930909000</v>
      </c>
      <c r="J6" s="84"/>
      <c r="K6" s="84"/>
      <c r="L6" s="84"/>
      <c r="M6" s="84"/>
      <c r="N6" s="57">
        <f>I6/I$6</f>
        <v>1</v>
      </c>
      <c r="O6" s="58"/>
      <c r="P6" s="58"/>
      <c r="Q6" s="58"/>
      <c r="R6" s="68"/>
      <c r="S6" s="50"/>
      <c r="T6" s="50"/>
      <c r="U6" s="50"/>
    </row>
    <row r="7" spans="1:22" s="201" customFormat="1" ht="15" customHeight="1" x14ac:dyDescent="0.25">
      <c r="A7" s="79"/>
      <c r="B7" s="222"/>
      <c r="C7" s="263" t="s">
        <v>577</v>
      </c>
      <c r="D7" s="263"/>
      <c r="E7" s="263"/>
      <c r="F7" s="263"/>
      <c r="G7" s="264"/>
      <c r="H7" s="85"/>
      <c r="I7" s="86"/>
      <c r="J7" s="84">
        <f>I6-H23</f>
        <v>1915909000</v>
      </c>
      <c r="K7" s="84"/>
      <c r="L7" s="84"/>
      <c r="M7" s="84"/>
      <c r="N7" s="57"/>
      <c r="O7" s="58"/>
      <c r="P7" s="58"/>
      <c r="Q7" s="58"/>
      <c r="R7" s="68"/>
      <c r="S7" s="50"/>
      <c r="T7" s="50"/>
      <c r="U7" s="50"/>
    </row>
    <row r="8" spans="1:22" ht="15" customHeight="1" x14ac:dyDescent="0.25">
      <c r="A8" s="79"/>
      <c r="B8" s="159"/>
      <c r="C8" s="268" t="s">
        <v>578</v>
      </c>
      <c r="D8" s="263"/>
      <c r="E8" s="263"/>
      <c r="F8" s="263"/>
      <c r="G8" s="264"/>
      <c r="H8" s="86"/>
      <c r="I8" s="83"/>
      <c r="J8" s="84">
        <f>I6-H23-H26</f>
        <v>1835909000</v>
      </c>
      <c r="K8" s="84"/>
      <c r="L8" s="84"/>
      <c r="M8" s="84"/>
      <c r="N8" s="57">
        <f>J8/I$6</f>
        <v>0.95080037433146769</v>
      </c>
      <c r="O8" s="59">
        <f>J8/J$8</f>
        <v>1</v>
      </c>
      <c r="P8" s="59"/>
      <c r="Q8" s="58"/>
      <c r="R8" s="68"/>
      <c r="S8" s="50"/>
      <c r="T8" s="50"/>
      <c r="U8" s="50"/>
    </row>
    <row r="9" spans="1:22" ht="15" customHeight="1" x14ac:dyDescent="0.25">
      <c r="A9" s="79"/>
      <c r="B9" s="159"/>
      <c r="C9" s="159"/>
      <c r="D9" s="263" t="s">
        <v>405</v>
      </c>
      <c r="E9" s="263"/>
      <c r="F9" s="263"/>
      <c r="G9" s="264"/>
      <c r="H9" s="86"/>
      <c r="I9" s="84"/>
      <c r="J9" s="84"/>
      <c r="K9" s="84">
        <f>ROUND(J8*O9,-3)+H26</f>
        <v>1365136000</v>
      </c>
      <c r="L9" s="84"/>
      <c r="M9" s="84"/>
      <c r="N9" s="57">
        <f>K9/I$6</f>
        <v>0.70699137038565774</v>
      </c>
      <c r="O9" s="89">
        <v>0.7</v>
      </c>
      <c r="P9" s="59">
        <f>K9/K$9</f>
        <v>1</v>
      </c>
      <c r="Q9" s="58"/>
      <c r="R9" s="68"/>
      <c r="S9" s="191"/>
      <c r="T9" s="191"/>
      <c r="U9" s="191"/>
    </row>
    <row r="10" spans="1:22" ht="15" customHeight="1" x14ac:dyDescent="0.25">
      <c r="A10" s="79"/>
      <c r="B10" s="159"/>
      <c r="C10" s="159"/>
      <c r="D10" s="53"/>
      <c r="E10" s="263" t="s">
        <v>579</v>
      </c>
      <c r="F10" s="263"/>
      <c r="G10" s="264"/>
      <c r="H10" s="86"/>
      <c r="I10" s="84"/>
      <c r="J10" s="84"/>
      <c r="K10" s="84"/>
      <c r="L10" s="84">
        <f>K9-H24</f>
        <v>1352471000</v>
      </c>
      <c r="M10" s="84"/>
      <c r="N10" s="57">
        <f>L10/I$6</f>
        <v>0.70043228344784758</v>
      </c>
      <c r="O10" s="58">
        <f>L10/J$8</f>
        <v>0.73667649104612487</v>
      </c>
      <c r="P10" s="59">
        <f>L10/K$9</f>
        <v>0.99072253606966632</v>
      </c>
      <c r="Q10" s="59"/>
      <c r="R10" s="68"/>
      <c r="S10" s="50"/>
      <c r="T10" s="50"/>
      <c r="U10" s="50"/>
    </row>
    <row r="11" spans="1:22" ht="15" customHeight="1" x14ac:dyDescent="0.25">
      <c r="A11" s="79"/>
      <c r="B11" s="159"/>
      <c r="C11" s="159"/>
      <c r="D11" s="53"/>
      <c r="E11" s="263" t="s">
        <v>580</v>
      </c>
      <c r="F11" s="263"/>
      <c r="G11" s="264"/>
      <c r="H11" s="86"/>
      <c r="I11" s="84"/>
      <c r="J11" s="84"/>
      <c r="K11" s="84"/>
      <c r="L11" s="84">
        <f>K9-H24-H25</f>
        <v>1259471000</v>
      </c>
      <c r="M11" s="78"/>
      <c r="N11" s="57">
        <f>L11/I$6</f>
        <v>0.65226843937233703</v>
      </c>
      <c r="O11" s="58">
        <f>L11/J$8</f>
        <v>0.68602038554198497</v>
      </c>
      <c r="P11" s="59">
        <f>L11/K$9</f>
        <v>0.92259745549161398</v>
      </c>
      <c r="Q11" s="58"/>
      <c r="R11" s="68"/>
      <c r="S11" s="50"/>
      <c r="T11" s="50"/>
      <c r="U11" s="50"/>
    </row>
    <row r="12" spans="1:22" ht="15" customHeight="1" x14ac:dyDescent="0.25">
      <c r="A12" s="79"/>
      <c r="B12" s="159"/>
      <c r="C12" s="53"/>
      <c r="D12" s="263" t="s">
        <v>203</v>
      </c>
      <c r="E12" s="263"/>
      <c r="F12" s="263"/>
      <c r="G12" s="264"/>
      <c r="H12" s="86"/>
      <c r="I12" s="84"/>
      <c r="J12" s="84"/>
      <c r="K12" s="84">
        <f>ROUND(J8*O12,-3)</f>
        <v>367182000</v>
      </c>
      <c r="L12" s="84"/>
      <c r="M12" s="84"/>
      <c r="N12" s="57">
        <f>K12/I$6</f>
        <v>0.19016017844445285</v>
      </c>
      <c r="O12" s="90">
        <v>0.2</v>
      </c>
      <c r="P12" s="92"/>
      <c r="Q12" s="58"/>
      <c r="R12" s="68"/>
      <c r="S12" s="191"/>
      <c r="T12" s="191"/>
      <c r="U12" s="191"/>
    </row>
    <row r="13" spans="1:22" ht="15" customHeight="1" x14ac:dyDescent="0.25">
      <c r="A13" s="79"/>
      <c r="B13" s="159"/>
      <c r="C13" s="53"/>
      <c r="D13" s="263" t="s">
        <v>394</v>
      </c>
      <c r="E13" s="263"/>
      <c r="F13" s="263"/>
      <c r="G13" s="264"/>
      <c r="H13" s="86"/>
      <c r="I13" s="84"/>
      <c r="J13" s="84"/>
      <c r="K13" s="84">
        <f>ROUND(J8*O13,-3)</f>
        <v>183591000</v>
      </c>
      <c r="L13" s="84"/>
      <c r="M13" s="84"/>
      <c r="N13" s="57">
        <f>K13/I$6</f>
        <v>9.5080089222226424E-2</v>
      </c>
      <c r="O13" s="90">
        <v>0.1</v>
      </c>
      <c r="P13" s="92"/>
      <c r="Q13" s="58">
        <f>K13/K$13</f>
        <v>1</v>
      </c>
      <c r="R13" s="68"/>
      <c r="S13" s="50"/>
      <c r="T13" s="191"/>
      <c r="U13" s="191"/>
    </row>
    <row r="14" spans="1:22" ht="15" customHeight="1" x14ac:dyDescent="0.25">
      <c r="A14" s="79"/>
      <c r="B14" s="54"/>
      <c r="C14" s="53"/>
      <c r="D14" s="159"/>
      <c r="E14" s="263" t="s">
        <v>209</v>
      </c>
      <c r="F14" s="263"/>
      <c r="G14" s="264"/>
      <c r="H14" s="86"/>
      <c r="I14" s="84"/>
      <c r="J14" s="84"/>
      <c r="K14" s="84"/>
      <c r="L14" s="84">
        <f>K13*Q14</f>
        <v>137693250</v>
      </c>
      <c r="M14" s="84"/>
      <c r="N14" s="57">
        <f>L14/I$6</f>
        <v>7.1310066916669815E-2</v>
      </c>
      <c r="O14" s="59">
        <f>L14/J$8</f>
        <v>7.5000040851697994E-2</v>
      </c>
      <c r="P14" s="92"/>
      <c r="Q14" s="96">
        <f>3/4</f>
        <v>0.75</v>
      </c>
      <c r="R14" s="68"/>
      <c r="S14" s="190"/>
      <c r="T14" s="190"/>
      <c r="U14" s="190"/>
    </row>
    <row r="15" spans="1:22" s="50" customFormat="1" ht="15" customHeight="1" x14ac:dyDescent="0.25">
      <c r="A15" s="69"/>
      <c r="B15" s="54"/>
      <c r="C15" s="53"/>
      <c r="D15" s="159"/>
      <c r="E15" s="263" t="s">
        <v>396</v>
      </c>
      <c r="F15" s="263"/>
      <c r="G15" s="264"/>
      <c r="H15" s="86"/>
      <c r="I15" s="84"/>
      <c r="J15" s="84"/>
      <c r="K15" s="84"/>
      <c r="L15" s="84">
        <f>K13*Q15</f>
        <v>45897750</v>
      </c>
      <c r="M15" s="84"/>
      <c r="N15" s="57">
        <f>L15/I$6</f>
        <v>2.3770022305556606E-2</v>
      </c>
      <c r="O15" s="59">
        <f>L15/J$8</f>
        <v>2.5000013617232662E-2</v>
      </c>
      <c r="P15" s="92"/>
      <c r="Q15" s="96">
        <f>1/4</f>
        <v>0.25</v>
      </c>
      <c r="R15" s="68">
        <f>L15/L$15</f>
        <v>1</v>
      </c>
      <c r="S15" s="190"/>
      <c r="T15" s="190"/>
      <c r="U15" s="190"/>
    </row>
    <row r="16" spans="1:22" s="50" customFormat="1" ht="15" customHeight="1" x14ac:dyDescent="0.25">
      <c r="A16" s="69"/>
      <c r="B16" s="159"/>
      <c r="C16" s="53"/>
      <c r="D16" s="159"/>
      <c r="E16" s="159"/>
      <c r="F16" s="263" t="s">
        <v>17</v>
      </c>
      <c r="G16" s="264"/>
      <c r="H16" s="86"/>
      <c r="I16" s="84"/>
      <c r="J16" s="84"/>
      <c r="K16" s="84"/>
      <c r="L16" s="84"/>
      <c r="M16" s="84">
        <f>ROUND(L15*R16,0)</f>
        <v>11474438</v>
      </c>
      <c r="N16" s="57">
        <f>M16/I$6</f>
        <v>5.9425058353345496E-3</v>
      </c>
      <c r="O16" s="59">
        <f>M16/J$8</f>
        <v>6.2500036766528185E-3</v>
      </c>
      <c r="P16" s="92"/>
      <c r="Q16" s="58">
        <f>M16/K$13</f>
        <v>6.2500002723445053E-2</v>
      </c>
      <c r="R16" s="91">
        <f>1/4</f>
        <v>0.25</v>
      </c>
    </row>
    <row r="17" spans="1:21" ht="15" customHeight="1" x14ac:dyDescent="0.25">
      <c r="A17" s="79"/>
      <c r="B17" s="159"/>
      <c r="C17" s="53"/>
      <c r="D17" s="159"/>
      <c r="E17" s="159"/>
      <c r="F17" s="263" t="s">
        <v>397</v>
      </c>
      <c r="G17" s="264"/>
      <c r="H17" s="86"/>
      <c r="I17" s="84"/>
      <c r="J17" s="84"/>
      <c r="K17" s="84"/>
      <c r="L17" s="84"/>
      <c r="M17" s="84">
        <f>ROUND(L15*R17,0)</f>
        <v>34423313</v>
      </c>
      <c r="N17" s="57">
        <f>M17/I$6</f>
        <v>1.7827516988112854E-2</v>
      </c>
      <c r="O17" s="59">
        <f>M17/J$8</f>
        <v>1.8750010485269149E-2</v>
      </c>
      <c r="P17" s="92"/>
      <c r="Q17" s="58">
        <f>M17/K$13</f>
        <v>0.18750000272344505</v>
      </c>
      <c r="R17" s="91">
        <f>3/4</f>
        <v>0.75</v>
      </c>
      <c r="S17" s="50"/>
      <c r="T17" s="50"/>
      <c r="U17" s="50"/>
    </row>
    <row r="18" spans="1:21" ht="15" customHeight="1" x14ac:dyDescent="0.25">
      <c r="A18" s="79"/>
      <c r="B18" s="188"/>
      <c r="C18" s="53"/>
      <c r="D18" s="188"/>
      <c r="E18" s="263" t="s">
        <v>581</v>
      </c>
      <c r="F18" s="263"/>
      <c r="G18" s="264"/>
      <c r="H18" s="86"/>
      <c r="I18" s="84"/>
      <c r="J18" s="84"/>
      <c r="K18" s="84"/>
      <c r="L18" s="84">
        <f>K13*Q18</f>
        <v>0</v>
      </c>
      <c r="M18" s="84"/>
      <c r="N18" s="57">
        <f>M18/I$6</f>
        <v>0</v>
      </c>
      <c r="O18" s="59">
        <f>M18/J$8</f>
        <v>0</v>
      </c>
      <c r="P18" s="92"/>
      <c r="Q18" s="96">
        <f>0</f>
        <v>0</v>
      </c>
      <c r="R18" s="189"/>
      <c r="S18" s="50"/>
      <c r="T18" s="50"/>
      <c r="U18" s="190"/>
    </row>
    <row r="19" spans="1:21" ht="15" customHeight="1" x14ac:dyDescent="0.25">
      <c r="A19" s="79"/>
      <c r="B19" s="159"/>
      <c r="C19" s="263" t="s">
        <v>208</v>
      </c>
      <c r="D19" s="263"/>
      <c r="E19" s="263"/>
      <c r="F19" s="263"/>
      <c r="G19" s="264"/>
      <c r="H19" s="86"/>
      <c r="I19" s="84"/>
      <c r="J19" s="84">
        <f>J7+H22</f>
        <v>1947505397</v>
      </c>
      <c r="K19" s="84"/>
      <c r="L19" s="84"/>
      <c r="M19" s="84"/>
      <c r="N19" s="57"/>
      <c r="O19" s="58"/>
      <c r="P19" s="93"/>
      <c r="Q19" s="58"/>
      <c r="R19" s="68"/>
      <c r="S19" s="50"/>
      <c r="T19" s="50"/>
      <c r="U19" s="50"/>
    </row>
    <row r="20" spans="1:21" ht="15" customHeight="1" x14ac:dyDescent="0.25">
      <c r="A20" s="79"/>
      <c r="B20" s="160"/>
      <c r="C20" s="263" t="s">
        <v>513</v>
      </c>
      <c r="D20" s="263"/>
      <c r="E20" s="263"/>
      <c r="F20" s="263"/>
      <c r="G20" s="264"/>
      <c r="H20" s="86"/>
      <c r="I20" s="84"/>
      <c r="J20" s="84">
        <f>J7-H25</f>
        <v>1822909000</v>
      </c>
      <c r="K20" s="84">
        <f>K9+K12+K13-H25</f>
        <v>1822909000</v>
      </c>
      <c r="L20" s="84"/>
      <c r="M20" s="84"/>
      <c r="N20" s="57"/>
      <c r="O20" s="58"/>
      <c r="P20" s="93"/>
      <c r="Q20" s="58"/>
      <c r="R20" s="68"/>
      <c r="S20" s="50"/>
      <c r="T20" s="50"/>
      <c r="U20" s="50"/>
    </row>
    <row r="21" spans="1:21" ht="15" customHeight="1" x14ac:dyDescent="0.25">
      <c r="A21" s="61"/>
      <c r="B21" s="51"/>
      <c r="C21" s="269" t="s">
        <v>514</v>
      </c>
      <c r="D21" s="269"/>
      <c r="E21" s="269"/>
      <c r="F21" s="269"/>
      <c r="G21" s="270"/>
      <c r="H21" s="84"/>
      <c r="I21" s="84"/>
      <c r="J21" s="84">
        <f>J7-H24-H25</f>
        <v>1810244000</v>
      </c>
      <c r="K21" s="84"/>
      <c r="L21" s="84">
        <f>L11+K12+K13</f>
        <v>1810244000</v>
      </c>
      <c r="M21" s="84"/>
      <c r="N21" s="57">
        <f>J21/I$6</f>
        <v>0.93750870703901634</v>
      </c>
      <c r="O21" s="132">
        <f>J21/J$8</f>
        <v>0.98602054894877689</v>
      </c>
      <c r="P21" s="88"/>
      <c r="Q21" s="88"/>
      <c r="R21" s="87"/>
      <c r="S21" s="50"/>
      <c r="T21" s="50"/>
      <c r="U21" s="50"/>
    </row>
    <row r="22" spans="1:21" ht="15" customHeight="1" x14ac:dyDescent="0.25">
      <c r="A22" s="60"/>
      <c r="B22" s="55"/>
      <c r="C22" s="55"/>
      <c r="D22" s="55"/>
      <c r="E22" s="55"/>
      <c r="F22" s="266" t="s">
        <v>205</v>
      </c>
      <c r="G22" s="267"/>
      <c r="H22" s="95">
        <v>31596397</v>
      </c>
      <c r="I22" s="105"/>
      <c r="J22" s="105"/>
      <c r="K22" s="105"/>
      <c r="L22" s="105"/>
      <c r="M22" s="105"/>
      <c r="N22" s="70"/>
      <c r="O22" s="71"/>
      <c r="P22" s="71"/>
      <c r="Q22" s="71"/>
      <c r="R22" s="72"/>
      <c r="S22" s="50"/>
      <c r="T22" s="50"/>
      <c r="U22" s="50"/>
    </row>
    <row r="23" spans="1:21" ht="15" customHeight="1" x14ac:dyDescent="0.25">
      <c r="A23" s="61"/>
      <c r="B23" s="51"/>
      <c r="C23" s="51"/>
      <c r="D23" s="51"/>
      <c r="E23" s="51"/>
      <c r="F23" s="263" t="s">
        <v>206</v>
      </c>
      <c r="G23" s="264"/>
      <c r="H23" s="94">
        <v>15000000</v>
      </c>
      <c r="I23" s="86"/>
      <c r="J23" s="86"/>
      <c r="K23" s="86"/>
      <c r="L23" s="86"/>
      <c r="M23" s="86"/>
      <c r="N23" s="74">
        <f>H23/I$6</f>
        <v>7.768361947662992E-3</v>
      </c>
      <c r="O23" s="58"/>
      <c r="P23" s="58"/>
      <c r="Q23" s="58"/>
      <c r="R23" s="68"/>
      <c r="S23" s="50"/>
      <c r="T23" s="50"/>
      <c r="U23" s="50"/>
    </row>
    <row r="24" spans="1:21" ht="15" customHeight="1" x14ac:dyDescent="0.25">
      <c r="A24" s="61"/>
      <c r="B24" s="51"/>
      <c r="C24" s="51"/>
      <c r="D24" s="51"/>
      <c r="E24" s="51"/>
      <c r="F24" s="263" t="s">
        <v>207</v>
      </c>
      <c r="G24" s="264"/>
      <c r="H24" s="94">
        <v>12665000</v>
      </c>
      <c r="I24" s="86"/>
      <c r="J24" s="86"/>
      <c r="K24" s="86"/>
      <c r="L24" s="86"/>
      <c r="M24" s="86"/>
      <c r="N24" s="74">
        <f>H24/I$6</f>
        <v>6.5590869378101191E-3</v>
      </c>
      <c r="O24" s="58">
        <f>H24/J$8</f>
        <v>6.8984900667734619E-3</v>
      </c>
      <c r="P24" s="58">
        <f>H24/K$9</f>
        <v>9.2774639303336813E-3</v>
      </c>
      <c r="Q24" s="58"/>
      <c r="R24" s="68"/>
      <c r="S24" s="50"/>
      <c r="T24" s="50"/>
      <c r="U24" s="50"/>
    </row>
    <row r="25" spans="1:21" ht="15" customHeight="1" x14ac:dyDescent="0.25">
      <c r="A25" s="61"/>
      <c r="B25" s="51"/>
      <c r="C25" s="51"/>
      <c r="D25" s="51"/>
      <c r="E25" s="51"/>
      <c r="F25" s="263" t="s">
        <v>424</v>
      </c>
      <c r="G25" s="264"/>
      <c r="H25" s="164">
        <v>93000000</v>
      </c>
      <c r="I25" s="86"/>
      <c r="J25" s="86"/>
      <c r="K25" s="86"/>
      <c r="L25" s="86"/>
      <c r="M25" s="165"/>
      <c r="N25" s="74">
        <f>H25/I$6</f>
        <v>4.8163844075510547E-2</v>
      </c>
      <c r="O25" s="58">
        <f>H25/J$8</f>
        <v>5.065610550413991E-2</v>
      </c>
      <c r="P25" s="58">
        <f>H25/K$9</f>
        <v>6.8125080578052291E-2</v>
      </c>
      <c r="Q25" s="58"/>
      <c r="R25" s="68"/>
      <c r="S25" s="50"/>
      <c r="T25" s="50"/>
      <c r="U25" s="50"/>
    </row>
    <row r="26" spans="1:21" ht="15" customHeight="1" x14ac:dyDescent="0.25">
      <c r="A26" s="61"/>
      <c r="B26" s="51"/>
      <c r="C26" s="51"/>
      <c r="D26" s="51"/>
      <c r="E26" s="51"/>
      <c r="F26" s="159"/>
      <c r="G26" s="161" t="s">
        <v>500</v>
      </c>
      <c r="H26" s="94">
        <v>80000000</v>
      </c>
      <c r="I26" s="86"/>
      <c r="J26" s="86"/>
      <c r="K26" s="86"/>
      <c r="L26" s="86"/>
      <c r="M26" s="86"/>
      <c r="N26" s="74">
        <f t="shared" ref="N26:N27" si="0">H26/I$6</f>
        <v>4.1431263720869291E-2</v>
      </c>
      <c r="O26" s="58">
        <f t="shared" ref="O26:O27" si="1">H26/J$8</f>
        <v>4.3575144519690245E-2</v>
      </c>
      <c r="P26" s="58">
        <f t="shared" ref="P26:P27" si="2">H26/K$9</f>
        <v>5.8602219852087994E-2</v>
      </c>
      <c r="Q26" s="58"/>
      <c r="R26" s="68"/>
      <c r="S26" s="50"/>
      <c r="T26" s="50"/>
      <c r="U26" s="50"/>
    </row>
    <row r="27" spans="1:21" ht="15" customHeight="1" x14ac:dyDescent="0.25">
      <c r="A27" s="162"/>
      <c r="B27" s="52"/>
      <c r="C27" s="52"/>
      <c r="D27" s="52"/>
      <c r="E27" s="52"/>
      <c r="F27" s="52"/>
      <c r="G27" s="163" t="s">
        <v>501</v>
      </c>
      <c r="H27" s="174">
        <f>H25-H26</f>
        <v>13000000</v>
      </c>
      <c r="I27" s="52"/>
      <c r="J27" s="52"/>
      <c r="K27" s="52"/>
      <c r="L27" s="52"/>
      <c r="M27" s="52"/>
      <c r="N27" s="75">
        <f t="shared" si="0"/>
        <v>6.7325803546412592E-3</v>
      </c>
      <c r="O27" s="73">
        <f t="shared" si="1"/>
        <v>7.0809609844496649E-3</v>
      </c>
      <c r="P27" s="73">
        <f t="shared" si="2"/>
        <v>9.5228607259643001E-3</v>
      </c>
      <c r="Q27" s="52"/>
      <c r="R27" s="158"/>
      <c r="S27" s="50"/>
      <c r="T27" s="50"/>
      <c r="U27" s="50"/>
    </row>
    <row r="28" spans="1:21" x14ac:dyDescent="0.25">
      <c r="A28" s="50" t="s">
        <v>583</v>
      </c>
    </row>
    <row r="29" spans="1:21" x14ac:dyDescent="0.25">
      <c r="C29" s="114"/>
      <c r="D29" s="114"/>
      <c r="E29" s="114"/>
      <c r="F29" s="114"/>
      <c r="G29" s="114"/>
      <c r="H29" s="114"/>
      <c r="I29" s="114"/>
      <c r="K29" s="114"/>
      <c r="L29" s="114"/>
      <c r="M29" s="114"/>
    </row>
    <row r="30" spans="1:21" x14ac:dyDescent="0.25">
      <c r="C30" s="114"/>
      <c r="D30" s="114"/>
      <c r="E30" s="114"/>
      <c r="F30" s="114"/>
      <c r="G30" s="114"/>
      <c r="H30" s="175"/>
      <c r="I30" s="176"/>
      <c r="J30" s="176"/>
      <c r="K30" s="176"/>
      <c r="L30" s="176"/>
      <c r="M30" s="176"/>
      <c r="N30" s="176"/>
      <c r="O30" s="8"/>
    </row>
    <row r="31" spans="1:21" x14ac:dyDescent="0.25">
      <c r="C31" s="114"/>
      <c r="D31" s="114"/>
      <c r="E31" s="114"/>
      <c r="F31" s="114"/>
      <c r="G31" s="114"/>
      <c r="H31" s="175"/>
      <c r="I31" s="176"/>
      <c r="J31" s="176"/>
      <c r="K31" s="176"/>
      <c r="L31" s="176"/>
      <c r="M31" s="176"/>
      <c r="N31" s="176"/>
      <c r="O31" s="176"/>
    </row>
    <row r="32" spans="1:21" x14ac:dyDescent="0.25">
      <c r="H32" s="175"/>
      <c r="I32" s="176"/>
      <c r="J32" s="176"/>
      <c r="K32" s="176"/>
      <c r="L32" s="176"/>
      <c r="M32" s="176"/>
      <c r="N32" s="176"/>
      <c r="O32" s="176"/>
    </row>
    <row r="33" spans="8:15" x14ac:dyDescent="0.25">
      <c r="H33" s="175"/>
      <c r="I33" s="176"/>
      <c r="J33" s="176"/>
      <c r="K33" s="176"/>
      <c r="L33" s="176"/>
      <c r="M33" s="176"/>
      <c r="N33" s="176"/>
      <c r="O33" s="8"/>
    </row>
    <row r="34" spans="8:15" x14ac:dyDescent="0.25">
      <c r="H34" s="175"/>
      <c r="I34" s="176"/>
      <c r="J34" s="176"/>
      <c r="K34" s="176"/>
      <c r="L34" s="176"/>
      <c r="M34" s="176"/>
      <c r="N34" s="176"/>
      <c r="O34" s="8"/>
    </row>
    <row r="35" spans="8:15" x14ac:dyDescent="0.25">
      <c r="H35" s="175"/>
      <c r="I35" s="176"/>
      <c r="J35" s="176"/>
      <c r="K35" s="176"/>
      <c r="L35" s="176"/>
      <c r="M35" s="176"/>
      <c r="N35" s="176"/>
      <c r="O35" s="8"/>
    </row>
    <row r="36" spans="8:15" x14ac:dyDescent="0.25">
      <c r="H36" s="175"/>
      <c r="I36" s="176"/>
      <c r="J36" s="176"/>
      <c r="K36" s="176"/>
      <c r="L36" s="176"/>
      <c r="M36" s="176"/>
      <c r="N36" s="176"/>
      <c r="O36" s="8"/>
    </row>
    <row r="37" spans="8:15" x14ac:dyDescent="0.25">
      <c r="H37" s="175"/>
      <c r="I37" s="176"/>
      <c r="J37" s="176"/>
      <c r="K37" s="176"/>
      <c r="L37" s="176"/>
      <c r="M37" s="176"/>
      <c r="N37" s="176"/>
      <c r="O37" s="201"/>
    </row>
    <row r="38" spans="8:15" x14ac:dyDescent="0.25">
      <c r="H38" s="175"/>
      <c r="I38" s="176"/>
      <c r="J38" s="176"/>
      <c r="K38" s="176"/>
      <c r="L38" s="176"/>
      <c r="M38" s="176"/>
      <c r="N38" s="176"/>
      <c r="O38" s="176"/>
    </row>
    <row r="39" spans="8:15" x14ac:dyDescent="0.25">
      <c r="H39" s="175"/>
      <c r="I39" s="176"/>
      <c r="J39" s="176"/>
      <c r="K39" s="176"/>
      <c r="L39" s="176"/>
      <c r="M39" s="176"/>
      <c r="N39" s="176"/>
      <c r="O39" s="176"/>
    </row>
    <row r="40" spans="8:15" x14ac:dyDescent="0.25">
      <c r="H40" s="175"/>
      <c r="I40" s="176"/>
      <c r="J40" s="176"/>
      <c r="K40" s="176"/>
      <c r="L40" s="176"/>
      <c r="M40" s="176"/>
      <c r="N40" s="176"/>
      <c r="O40" s="8"/>
    </row>
    <row r="41" spans="8:15" x14ac:dyDescent="0.25">
      <c r="H41" s="175"/>
      <c r="I41" s="176"/>
      <c r="J41" s="176"/>
      <c r="K41" s="176"/>
      <c r="L41" s="176"/>
      <c r="M41" s="176"/>
      <c r="N41" s="176"/>
      <c r="O41" s="8"/>
    </row>
    <row r="42" spans="8:15" x14ac:dyDescent="0.25">
      <c r="H42" s="175"/>
      <c r="I42" s="176"/>
      <c r="J42" s="176"/>
      <c r="K42" s="176"/>
      <c r="L42" s="176"/>
      <c r="M42" s="176"/>
      <c r="N42" s="176"/>
      <c r="O42" s="8"/>
    </row>
    <row r="43" spans="8:15" x14ac:dyDescent="0.25">
      <c r="H43" s="175"/>
      <c r="I43" s="176"/>
      <c r="J43" s="176"/>
      <c r="K43" s="176"/>
      <c r="L43" s="176"/>
      <c r="M43" s="176"/>
      <c r="N43" s="176"/>
      <c r="O43" s="8"/>
    </row>
    <row r="44" spans="8:15" x14ac:dyDescent="0.25">
      <c r="H44" s="175"/>
      <c r="I44" s="176"/>
      <c r="J44" s="176"/>
      <c r="K44" s="176"/>
      <c r="L44" s="176"/>
      <c r="M44" s="176"/>
      <c r="N44" s="176"/>
      <c r="O44" s="201"/>
    </row>
  </sheetData>
  <mergeCells count="21">
    <mergeCell ref="F25:G25"/>
    <mergeCell ref="F24:G24"/>
    <mergeCell ref="F23:G23"/>
    <mergeCell ref="F22:G22"/>
    <mergeCell ref="C21:G21"/>
    <mergeCell ref="E11:G11"/>
    <mergeCell ref="A5:G5"/>
    <mergeCell ref="B6:G6"/>
    <mergeCell ref="C8:G8"/>
    <mergeCell ref="D9:G9"/>
    <mergeCell ref="E10:G10"/>
    <mergeCell ref="C7:G7"/>
    <mergeCell ref="C20:G20"/>
    <mergeCell ref="C19:G19"/>
    <mergeCell ref="D12:G12"/>
    <mergeCell ref="D13:G13"/>
    <mergeCell ref="E14:G14"/>
    <mergeCell ref="E15:G15"/>
    <mergeCell ref="F16:G16"/>
    <mergeCell ref="F17:G17"/>
    <mergeCell ref="E18:G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>
    <tabColor theme="4" tint="0.59999389629810485"/>
  </sheetPr>
  <dimension ref="A1:AX329"/>
  <sheetViews>
    <sheetView zoomScale="90" zoomScaleNormal="90" workbookViewId="0">
      <pane xSplit="2" ySplit="5" topLeftCell="F6" activePane="bottomRight" state="frozen"/>
      <selection pane="topRight" activeCell="C1" sqref="C1"/>
      <selection pane="bottomLeft" activeCell="A6" sqref="A6"/>
      <selection pane="bottomRight"/>
    </sheetView>
  </sheetViews>
  <sheetFormatPr defaultColWidth="13.140625" defaultRowHeight="15" x14ac:dyDescent="0.25"/>
  <cols>
    <col min="1" max="1" width="11.5703125" style="9" customWidth="1"/>
    <col min="2" max="2" width="42.140625" style="9" customWidth="1"/>
    <col min="3" max="3" width="18.5703125" style="9" hidden="1" customWidth="1"/>
    <col min="4" max="5" width="16.42578125" style="9" hidden="1" customWidth="1"/>
    <col min="6" max="6" width="16.7109375" style="9" customWidth="1"/>
    <col min="7" max="7" width="18.7109375" style="10" customWidth="1"/>
    <col min="8" max="8" width="10.28515625" style="10" customWidth="1"/>
    <col min="9" max="11" width="10.28515625" style="9" customWidth="1"/>
    <col min="12" max="12" width="12.28515625" style="9" customWidth="1"/>
    <col min="13" max="13" width="11.140625" style="9" customWidth="1"/>
    <col min="14" max="14" width="10.28515625" style="9" customWidth="1"/>
    <col min="15" max="15" width="12.28515625" style="9" customWidth="1"/>
    <col min="16" max="17" width="10.28515625" style="9" customWidth="1"/>
    <col min="18" max="18" width="12.28515625" style="9" customWidth="1"/>
    <col min="19" max="20" width="10.28515625" style="9" customWidth="1"/>
    <col min="21" max="21" width="12.28515625" style="9" customWidth="1"/>
    <col min="22" max="23" width="10.28515625" style="9" customWidth="1"/>
    <col min="24" max="24" width="12.28515625" style="9" customWidth="1"/>
    <col min="25" max="25" width="10.28515625" style="9" customWidth="1"/>
    <col min="26" max="26" width="15.42578125" style="9" customWidth="1"/>
    <col min="27" max="28" width="10.5703125" style="9" customWidth="1"/>
    <col min="29" max="30" width="10.5703125" customWidth="1"/>
    <col min="31" max="36" width="10.5703125" style="9" customWidth="1"/>
    <col min="37" max="38" width="10.28515625" customWidth="1"/>
    <col min="39" max="40" width="10.28515625" style="9" customWidth="1"/>
    <col min="41" max="44" width="10.28515625" customWidth="1"/>
    <col min="45" max="45" width="21.85546875" style="9" customWidth="1"/>
    <col min="46" max="46" width="21.85546875" style="10" customWidth="1"/>
    <col min="47" max="47" width="21.85546875" style="9" customWidth="1"/>
    <col min="48" max="48" width="21.85546875" style="10" customWidth="1"/>
    <col min="49" max="50" width="21.85546875" style="9" customWidth="1"/>
    <col min="51" max="51" width="25.5703125" style="9" customWidth="1"/>
    <col min="52" max="16384" width="13.140625" style="9"/>
  </cols>
  <sheetData>
    <row r="1" spans="1:50" x14ac:dyDescent="0.25">
      <c r="A1" s="10" t="s">
        <v>506</v>
      </c>
      <c r="D1" s="10"/>
      <c r="E1" s="10"/>
      <c r="F1" s="10"/>
      <c r="G1" s="8"/>
      <c r="H1" s="11"/>
      <c r="M1" s="17"/>
      <c r="V1" s="10"/>
      <c r="AA1"/>
      <c r="AB1" s="11"/>
      <c r="AD1" s="11"/>
      <c r="AE1" s="201"/>
      <c r="AF1" s="11"/>
      <c r="AG1" s="201"/>
      <c r="AH1" s="11"/>
      <c r="AI1"/>
      <c r="AJ1" s="11"/>
      <c r="AL1" s="11"/>
      <c r="AM1"/>
      <c r="AN1" s="11"/>
      <c r="AP1" s="11"/>
      <c r="AQ1" s="9"/>
      <c r="AR1" s="10"/>
      <c r="AS1" s="10"/>
      <c r="AV1" s="9"/>
    </row>
    <row r="2" spans="1:50" ht="53.25" customHeight="1" x14ac:dyDescent="0.2">
      <c r="A2" s="127" t="s">
        <v>390</v>
      </c>
      <c r="B2" s="21"/>
      <c r="C2" s="21"/>
      <c r="D2" s="21"/>
      <c r="E2" s="21"/>
      <c r="F2" s="274" t="s">
        <v>634</v>
      </c>
      <c r="G2" s="275"/>
      <c r="H2" s="275"/>
      <c r="I2" s="275"/>
      <c r="J2" s="231"/>
      <c r="K2" s="231"/>
      <c r="L2" s="231"/>
      <c r="M2" s="231"/>
      <c r="N2" s="231"/>
      <c r="O2" s="231"/>
      <c r="P2" s="232"/>
      <c r="Q2" s="232"/>
      <c r="R2" s="232"/>
      <c r="S2" s="232"/>
      <c r="T2" s="232"/>
      <c r="U2" s="232"/>
      <c r="V2" s="232"/>
      <c r="W2" s="232"/>
      <c r="X2" s="232"/>
      <c r="Y2" s="231"/>
      <c r="Z2" s="233"/>
      <c r="AA2" s="281" t="s">
        <v>522</v>
      </c>
      <c r="AB2" s="282"/>
      <c r="AC2" s="282"/>
      <c r="AD2" s="282"/>
      <c r="AE2" s="282"/>
      <c r="AF2" s="282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5"/>
      <c r="AS2" s="293" t="s">
        <v>635</v>
      </c>
      <c r="AT2" s="294"/>
      <c r="AU2" s="294"/>
      <c r="AV2" s="295"/>
      <c r="AW2" s="167" t="s">
        <v>505</v>
      </c>
      <c r="AX2" s="166" t="s">
        <v>504</v>
      </c>
    </row>
    <row r="3" spans="1:50" s="12" customFormat="1" ht="15" customHeight="1" x14ac:dyDescent="0.2">
      <c r="A3" s="32"/>
      <c r="B3" s="32"/>
      <c r="C3" s="32"/>
      <c r="D3" s="32"/>
      <c r="E3" s="32"/>
      <c r="F3" s="276" t="s">
        <v>508</v>
      </c>
      <c r="G3" s="277"/>
      <c r="H3" s="277"/>
      <c r="I3" s="277"/>
      <c r="J3" s="277"/>
      <c r="K3" s="277"/>
      <c r="L3" s="278"/>
      <c r="M3" s="276" t="s">
        <v>203</v>
      </c>
      <c r="N3" s="277"/>
      <c r="O3" s="278"/>
      <c r="P3" s="290" t="s">
        <v>394</v>
      </c>
      <c r="Q3" s="291"/>
      <c r="R3" s="291"/>
      <c r="S3" s="291"/>
      <c r="T3" s="291"/>
      <c r="U3" s="291"/>
      <c r="V3" s="291"/>
      <c r="W3" s="291"/>
      <c r="X3" s="291"/>
      <c r="Y3" s="276" t="s">
        <v>16</v>
      </c>
      <c r="Z3" s="278"/>
      <c r="AA3" s="283" t="s">
        <v>521</v>
      </c>
      <c r="AB3" s="283"/>
      <c r="AC3" s="279" t="s">
        <v>552</v>
      </c>
      <c r="AD3" s="283"/>
      <c r="AE3" s="279" t="s">
        <v>553</v>
      </c>
      <c r="AF3" s="283"/>
      <c r="AG3" s="279" t="s">
        <v>554</v>
      </c>
      <c r="AH3" s="283"/>
      <c r="AI3" s="279" t="s">
        <v>548</v>
      </c>
      <c r="AJ3" s="283"/>
      <c r="AK3" s="279" t="s">
        <v>600</v>
      </c>
      <c r="AL3" s="280"/>
      <c r="AM3" s="279" t="s">
        <v>549</v>
      </c>
      <c r="AN3" s="280"/>
      <c r="AO3" s="283" t="s">
        <v>550</v>
      </c>
      <c r="AP3" s="283"/>
      <c r="AQ3" s="279" t="s">
        <v>551</v>
      </c>
      <c r="AR3" s="280"/>
      <c r="AS3" s="298" t="s">
        <v>425</v>
      </c>
      <c r="AT3" s="296" t="s">
        <v>426</v>
      </c>
      <c r="AU3" s="297" t="s">
        <v>427</v>
      </c>
      <c r="AV3" s="299" t="s">
        <v>507</v>
      </c>
      <c r="AW3" s="292"/>
      <c r="AX3" s="292"/>
    </row>
    <row r="4" spans="1:50" s="13" customFormat="1" ht="29.25" customHeight="1" x14ac:dyDescent="0.25">
      <c r="A4" s="33"/>
      <c r="B4" s="33"/>
      <c r="C4" s="33"/>
      <c r="D4" s="33"/>
      <c r="E4" s="33"/>
      <c r="F4" s="271" t="s">
        <v>210</v>
      </c>
      <c r="G4" s="272"/>
      <c r="H4" s="272"/>
      <c r="I4" s="272"/>
      <c r="J4" s="272"/>
      <c r="K4" s="272"/>
      <c r="L4" s="273"/>
      <c r="M4" s="284" t="s">
        <v>211</v>
      </c>
      <c r="N4" s="285"/>
      <c r="O4" s="286"/>
      <c r="P4" s="285" t="s">
        <v>212</v>
      </c>
      <c r="Q4" s="285"/>
      <c r="R4" s="285"/>
      <c r="S4" s="287" t="s">
        <v>213</v>
      </c>
      <c r="T4" s="288"/>
      <c r="U4" s="289"/>
      <c r="V4" s="285" t="s">
        <v>395</v>
      </c>
      <c r="W4" s="285"/>
      <c r="X4" s="285"/>
      <c r="Y4" s="284" t="s">
        <v>411</v>
      </c>
      <c r="Z4" s="286"/>
      <c r="AA4" s="283"/>
      <c r="AB4" s="283"/>
      <c r="AC4" s="279"/>
      <c r="AD4" s="283"/>
      <c r="AE4" s="279"/>
      <c r="AF4" s="283"/>
      <c r="AG4" s="279"/>
      <c r="AH4" s="283"/>
      <c r="AI4" s="279"/>
      <c r="AJ4" s="283"/>
      <c r="AK4" s="279"/>
      <c r="AL4" s="280"/>
      <c r="AM4" s="279"/>
      <c r="AN4" s="280"/>
      <c r="AO4" s="283"/>
      <c r="AP4" s="283"/>
      <c r="AQ4" s="279"/>
      <c r="AR4" s="280"/>
      <c r="AS4" s="298"/>
      <c r="AT4" s="296"/>
      <c r="AU4" s="297"/>
      <c r="AV4" s="299"/>
      <c r="AW4" s="292"/>
      <c r="AX4" s="292"/>
    </row>
    <row r="5" spans="1:50" s="12" customFormat="1" ht="50.25" customHeight="1" x14ac:dyDescent="0.2">
      <c r="A5" s="32" t="s">
        <v>389</v>
      </c>
      <c r="B5" s="34" t="s">
        <v>388</v>
      </c>
      <c r="C5" s="34" t="s">
        <v>399</v>
      </c>
      <c r="D5" s="34" t="s">
        <v>398</v>
      </c>
      <c r="E5" s="34" t="s">
        <v>437</v>
      </c>
      <c r="F5" s="77" t="s">
        <v>436</v>
      </c>
      <c r="G5" s="27" t="s">
        <v>523</v>
      </c>
      <c r="H5" s="28" t="s">
        <v>574</v>
      </c>
      <c r="I5" s="27" t="s">
        <v>215</v>
      </c>
      <c r="J5" s="27" t="s">
        <v>214</v>
      </c>
      <c r="K5" s="27" t="s">
        <v>585</v>
      </c>
      <c r="L5" s="27" t="s">
        <v>584</v>
      </c>
      <c r="M5" s="29" t="s">
        <v>586</v>
      </c>
      <c r="N5" s="27" t="s">
        <v>587</v>
      </c>
      <c r="O5" s="31" t="s">
        <v>588</v>
      </c>
      <c r="P5" s="30" t="s">
        <v>589</v>
      </c>
      <c r="Q5" s="27" t="s">
        <v>590</v>
      </c>
      <c r="R5" s="30" t="s">
        <v>591</v>
      </c>
      <c r="S5" s="29" t="s">
        <v>592</v>
      </c>
      <c r="T5" s="27" t="s">
        <v>593</v>
      </c>
      <c r="U5" s="31" t="s">
        <v>594</v>
      </c>
      <c r="V5" s="30" t="s">
        <v>595</v>
      </c>
      <c r="W5" s="27" t="s">
        <v>596</v>
      </c>
      <c r="X5" s="27" t="s">
        <v>597</v>
      </c>
      <c r="Y5" s="29" t="s">
        <v>598</v>
      </c>
      <c r="Z5" s="31" t="s">
        <v>599</v>
      </c>
      <c r="AA5" s="25" t="s">
        <v>601</v>
      </c>
      <c r="AB5" s="25" t="s">
        <v>602</v>
      </c>
      <c r="AC5" s="24" t="s">
        <v>603</v>
      </c>
      <c r="AD5" s="25" t="s">
        <v>604</v>
      </c>
      <c r="AE5" s="24" t="s">
        <v>605</v>
      </c>
      <c r="AF5" s="25" t="s">
        <v>606</v>
      </c>
      <c r="AG5" s="24" t="s">
        <v>607</v>
      </c>
      <c r="AH5" s="25" t="s">
        <v>608</v>
      </c>
      <c r="AI5" s="24" t="s">
        <v>609</v>
      </c>
      <c r="AJ5" s="26" t="s">
        <v>610</v>
      </c>
      <c r="AK5" s="25" t="s">
        <v>611</v>
      </c>
      <c r="AL5" s="25" t="s">
        <v>612</v>
      </c>
      <c r="AM5" s="24" t="s">
        <v>613</v>
      </c>
      <c r="AN5" s="26" t="s">
        <v>614</v>
      </c>
      <c r="AO5" s="25" t="s">
        <v>615</v>
      </c>
      <c r="AP5" s="25" t="s">
        <v>616</v>
      </c>
      <c r="AQ5" s="24" t="s">
        <v>617</v>
      </c>
      <c r="AR5" s="26" t="s">
        <v>618</v>
      </c>
      <c r="AS5" s="112" t="s">
        <v>503</v>
      </c>
      <c r="AT5" s="112" t="s">
        <v>428</v>
      </c>
      <c r="AU5" s="112" t="s">
        <v>429</v>
      </c>
      <c r="AV5" s="108" t="s">
        <v>430</v>
      </c>
      <c r="AW5" s="129" t="s">
        <v>433</v>
      </c>
      <c r="AX5" s="128" t="s">
        <v>434</v>
      </c>
    </row>
    <row r="6" spans="1:50" ht="12.75" x14ac:dyDescent="0.2">
      <c r="A6" s="134" t="s">
        <v>387</v>
      </c>
      <c r="B6" s="14" t="s">
        <v>171</v>
      </c>
      <c r="C6" s="107" t="s">
        <v>216</v>
      </c>
      <c r="D6" s="107" t="s">
        <v>392</v>
      </c>
      <c r="E6" s="107" t="s">
        <v>438</v>
      </c>
      <c r="F6" s="116">
        <v>0</v>
      </c>
      <c r="G6" s="124">
        <f>Ohj.lask.[[#This Row],[Tavoitteelliset opiskelija-vuodet]]-Ohj.lask.[[#This Row],[Järjestämisluvan opisk.vuosien vähimmäismäärä]]</f>
        <v>50</v>
      </c>
      <c r="H6" s="41">
        <v>50</v>
      </c>
      <c r="I6" s="15">
        <f>IFERROR(VLOOKUP($A6,'2.1 Toteut. op.vuodet'!$A:$T,COLUMN('2.1 Toteut. op.vuodet'!T:T),FALSE),0)</f>
        <v>0.43344246562029792</v>
      </c>
      <c r="J6" s="81">
        <f t="shared" ref="J6:J37" si="0">IFERROR(ROUND(H6*I6,1),0)</f>
        <v>21.7</v>
      </c>
      <c r="K6" s="16">
        <f>IFERROR(Ohj.lask.[[#This Row],[Painotetut opiskelija-vuodet]]/Ohj.lask.[[#Totals],[Painotetut opiskelija-vuodet]],0)</f>
        <v>1.0597193355315597E-4</v>
      </c>
      <c r="L6" s="17">
        <f>ROUND(IFERROR('1.1 Jakotaulu'!L$11*Ohj.lask.[[#This Row],[%-osuus 1]],0),0)</f>
        <v>133469</v>
      </c>
      <c r="M6" s="186">
        <f>IFERROR(ROUND(VLOOKUP($A6,'2.2 Tutk. ja osien pain. pist.'!$A:$Q,COLUMN('2.2 Tutk. ja osien pain. pist.'!P:P),FALSE),1),0)</f>
        <v>0</v>
      </c>
      <c r="N6" s="16">
        <f>IFERROR(Ohj.lask.[[#This Row],[Painotetut pisteet 2]]/Ohj.lask.[[#Totals],[Painotetut pisteet 2]],0)</f>
        <v>0</v>
      </c>
      <c r="O6" s="23">
        <f>ROUND(IFERROR('1.1 Jakotaulu'!K$12*Ohj.lask.[[#This Row],[%-osuus 2]],0),0)</f>
        <v>0</v>
      </c>
      <c r="P6" s="187">
        <f>IFERROR(ROUND(VLOOKUP($A6,'2.3 Työll. ja jatko-opisk.'!$A:$K,COLUMN('2.3 Työll. ja jatko-opisk.'!I:I),FALSE),1),0)</f>
        <v>0</v>
      </c>
      <c r="Q6" s="20">
        <f>IFERROR(Ohj.lask.[[#This Row],[Painotetut pisteet 3]]/Ohj.lask.[[#Totals],[Painotetut pisteet 3]],0)</f>
        <v>0</v>
      </c>
      <c r="R6" s="17">
        <f>ROUND(IFERROR('1.1 Jakotaulu'!L$14*Ohj.lask.[[#This Row],[%-osuus 3]],0),0)</f>
        <v>0</v>
      </c>
      <c r="S6" s="186">
        <f>IFERROR(ROUND(VLOOKUP($A6,'2.4 Aloittaneet palaute'!$A:$K,COLUMN('2.4 Aloittaneet palaute'!J:J),FALSE),1),0)</f>
        <v>0</v>
      </c>
      <c r="T6" s="20">
        <f>IFERROR(Ohj.lask.[[#This Row],[Painotetut pisteet 4]]/Ohj.lask.[[#Totals],[Painotetut pisteet 4]],0)</f>
        <v>0</v>
      </c>
      <c r="U6" s="23">
        <f>ROUND(IFERROR('1.1 Jakotaulu'!M$16*Ohj.lask.[[#This Row],[%-osuus 4]],0),0)</f>
        <v>0</v>
      </c>
      <c r="V6" s="81">
        <f>IFERROR(ROUND(VLOOKUP($A6,'2.5 Päättäneet palaute'!$A:$AC,COLUMN('2.5 Päättäneet palaute'!AB:AB),FALSE),1),0)</f>
        <v>0</v>
      </c>
      <c r="W6" s="20">
        <f>IFERROR(Ohj.lask.[[#This Row],[Painotetut pisteet 5]]/Ohj.lask.[[#Totals],[Painotetut pisteet 5]],0)</f>
        <v>0</v>
      </c>
      <c r="X6" s="17">
        <f>ROUND(IFERROR('1.1 Jakotaulu'!M$17*Ohj.lask.[[#This Row],[%-osuus 5]],0),0)</f>
        <v>0</v>
      </c>
      <c r="Y6" s="19">
        <f>IFERROR(Ohj.lask.[[#This Row],[Jaettava € 6]]/Ohj.lask.[[#Totals],[Jaettava € 6]],"")</f>
        <v>7.372983936774901E-5</v>
      </c>
      <c r="Z6" s="23">
        <f>IFERROR(Ohj.lask.[[#This Row],[Jaettava € 1]]+Ohj.lask.[[#This Row],[Jaettava € 2]]+Ohj.lask.[[#This Row],[Jaettava € 3]]+Ohj.lask.[[#This Row],[Jaettava € 4]]+Ohj.lask.[[#This Row],[Jaettava € 5]],"")</f>
        <v>133469</v>
      </c>
      <c r="AA6" s="17">
        <v>100000</v>
      </c>
      <c r="AB6" s="17">
        <v>0</v>
      </c>
      <c r="AC6" s="18">
        <v>150700</v>
      </c>
      <c r="AD6" s="17">
        <v>0</v>
      </c>
      <c r="AE6" s="18">
        <v>100000</v>
      </c>
      <c r="AF6" s="17">
        <v>0</v>
      </c>
      <c r="AG6" s="18">
        <v>0</v>
      </c>
      <c r="AH6" s="17">
        <v>0</v>
      </c>
      <c r="AI6" s="18">
        <v>0</v>
      </c>
      <c r="AJ6" s="17">
        <v>0</v>
      </c>
      <c r="AK6" s="18">
        <v>100000</v>
      </c>
      <c r="AL6" s="17">
        <v>0</v>
      </c>
      <c r="AM6" s="18">
        <v>0</v>
      </c>
      <c r="AN6" s="23">
        <v>0</v>
      </c>
      <c r="AO6" s="17">
        <v>0</v>
      </c>
      <c r="AP6" s="17">
        <v>0</v>
      </c>
      <c r="AQ6" s="18">
        <f>IFERROR(VLOOKUP(Ohj.lask.[[#This Row],[Y-tunnus]],#REF!,COLUMN(#REF!),FALSE),0)</f>
        <v>0</v>
      </c>
      <c r="AR6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6" s="17">
        <f>Ohj.lask.[[#This Row],[Jaettava € 1]]+Ohj.lask.[[#This Row],[Päätös, € 9]]</f>
        <v>133469</v>
      </c>
      <c r="AT6" s="113">
        <f>Ohj.lask.[[#This Row],[Jaettava € 2]]</f>
        <v>0</v>
      </c>
      <c r="AU6" s="17">
        <f>Ohj.lask.[[#This Row],[Jaettava € 3]]+Ohj.lask.[[#This Row],[Jaettava € 4]]+Ohj.lask.[[#This Row],[Jaettava € 5]]</f>
        <v>0</v>
      </c>
      <c r="AV6" s="42">
        <f>Ohj.lask.[[#This Row],[Jaettava € 6]]+Ohj.lask.[[#This Row],[Päätös, € 9]]</f>
        <v>133469</v>
      </c>
      <c r="AW6" s="42">
        <v>0</v>
      </c>
      <c r="AX6" s="23">
        <f>Ohj.lask.[[#This Row],[Perus-, suoritus- ja vaikuttavuusrahoitus yhteensä, €]]+Ohj.lask.[[#This Row],[Alv-korvaus, €]]</f>
        <v>133469</v>
      </c>
    </row>
    <row r="7" spans="1:50" ht="12.75" x14ac:dyDescent="0.2">
      <c r="A7" s="134" t="s">
        <v>444</v>
      </c>
      <c r="B7" s="14" t="s">
        <v>445</v>
      </c>
      <c r="C7" s="14" t="s">
        <v>216</v>
      </c>
      <c r="D7" s="14" t="s">
        <v>392</v>
      </c>
      <c r="E7" s="14" t="s">
        <v>438</v>
      </c>
      <c r="F7" s="117">
        <v>2484</v>
      </c>
      <c r="G7" s="124">
        <f>Ohj.lask.[[#This Row],[Tavoitteelliset opiskelija-vuodet]]-Ohj.lask.[[#This Row],[Järjestämisluvan opisk.vuosien vähimmäismäärä]]</f>
        <v>1761</v>
      </c>
      <c r="H7" s="41">
        <v>4245</v>
      </c>
      <c r="I7" s="15">
        <f>IFERROR(VLOOKUP($A7,'2.1 Toteut. op.vuodet'!$A:$T,COLUMN('2.1 Toteut. op.vuodet'!T:T),FALSE),0)</f>
        <v>0.81913275314680489</v>
      </c>
      <c r="J7" s="81">
        <f t="shared" si="0"/>
        <v>3477.2</v>
      </c>
      <c r="K7" s="16">
        <f>IFERROR(Ohj.lask.[[#This Row],[Painotetut opiskelija-vuodet]]/Ohj.lask.[[#Totals],[Painotetut opiskelija-vuodet]],0)</f>
        <v>1.6980903564563776E-2</v>
      </c>
      <c r="L7" s="17">
        <f>ROUND(IFERROR('1.1 Jakotaulu'!L$11*Ohj.lask.[[#This Row],[%-osuus 1]],0),0)</f>
        <v>21386956</v>
      </c>
      <c r="M7" s="186">
        <f>IFERROR(ROUND(VLOOKUP($A7,'2.2 Tutk. ja osien pain. pist.'!$A:$Q,COLUMN('2.2 Tutk. ja osien pain. pist.'!P:P),FALSE),1),0)</f>
        <v>312946</v>
      </c>
      <c r="N7" s="16">
        <f>IFERROR(Ohj.lask.[[#This Row],[Painotetut pisteet 2]]/Ohj.lask.[[#Totals],[Painotetut pisteet 2]],0)</f>
        <v>2.0089899904349149E-2</v>
      </c>
      <c r="O7" s="23">
        <f>ROUND(IFERROR('1.1 Jakotaulu'!K$12*Ohj.lask.[[#This Row],[%-osuus 2]],0),0)</f>
        <v>7376650</v>
      </c>
      <c r="P7" s="187">
        <f>IFERROR(ROUND(VLOOKUP($A7,'2.3 Työll. ja jatko-opisk.'!$A:$K,COLUMN('2.3 Työll. ja jatko-opisk.'!I:I),FALSE),1),0)</f>
        <v>5049.5</v>
      </c>
      <c r="Q7" s="16">
        <f>IFERROR(Ohj.lask.[[#This Row],[Painotetut pisteet 3]]/Ohj.lask.[[#Totals],[Painotetut pisteet 3]],0)</f>
        <v>2.5371452229869033E-2</v>
      </c>
      <c r="R7" s="17">
        <f>ROUND(IFERROR('1.1 Jakotaulu'!L$14*Ohj.lask.[[#This Row],[%-osuus 3]],0),0)</f>
        <v>3493478</v>
      </c>
      <c r="S7" s="186">
        <f>IFERROR(ROUND(VLOOKUP($A7,'2.4 Aloittaneet palaute'!$A:$K,COLUMN('2.4 Aloittaneet palaute'!J:J),FALSE),1),0)</f>
        <v>43378.1</v>
      </c>
      <c r="T7" s="20">
        <f>IFERROR(Ohj.lask.[[#This Row],[Painotetut pisteet 4]]/Ohj.lask.[[#Totals],[Painotetut pisteet 4]],0)</f>
        <v>2.6352772645134165E-2</v>
      </c>
      <c r="U7" s="23">
        <f>ROUND(IFERROR('1.1 Jakotaulu'!M$16*Ohj.lask.[[#This Row],[%-osuus 4]],0),0)</f>
        <v>302383</v>
      </c>
      <c r="V7" s="81">
        <f>IFERROR(ROUND(VLOOKUP($A7,'2.5 Päättäneet palaute'!$A:$AC,COLUMN('2.5 Päättäneet palaute'!AB:AB),FALSE),1),0)</f>
        <v>185529.3</v>
      </c>
      <c r="W7" s="20">
        <f>IFERROR(Ohj.lask.[[#This Row],[Painotetut pisteet 5]]/Ohj.lask.[[#Totals],[Painotetut pisteet 5]],0)</f>
        <v>2.1519567674163124E-2</v>
      </c>
      <c r="X7" s="17">
        <f>ROUND(IFERROR('1.1 Jakotaulu'!M$17*Ohj.lask.[[#This Row],[%-osuus 5]],0),0)</f>
        <v>740775</v>
      </c>
      <c r="Y7" s="19">
        <f>IFERROR(Ohj.lask.[[#This Row],[Jaettava € 6]]/Ohj.lask.[[#Totals],[Jaettava € 6]],"")</f>
        <v>1.8395443837648962E-2</v>
      </c>
      <c r="Z7" s="23">
        <f>IFERROR(Ohj.lask.[[#This Row],[Jaettava € 1]]+Ohj.lask.[[#This Row],[Jaettava € 2]]+Ohj.lask.[[#This Row],[Jaettava € 3]]+Ohj.lask.[[#This Row],[Jaettava € 4]]+Ohj.lask.[[#This Row],[Jaettava € 5]],"")</f>
        <v>33300242</v>
      </c>
      <c r="AA7" s="17">
        <v>0</v>
      </c>
      <c r="AB7" s="17">
        <v>0</v>
      </c>
      <c r="AC7" s="18">
        <v>0</v>
      </c>
      <c r="AD7" s="17">
        <v>0</v>
      </c>
      <c r="AE7" s="18">
        <v>0</v>
      </c>
      <c r="AF7" s="17">
        <v>0</v>
      </c>
      <c r="AG7" s="18">
        <v>0</v>
      </c>
      <c r="AH7" s="17">
        <v>0</v>
      </c>
      <c r="AI7" s="18">
        <v>397500</v>
      </c>
      <c r="AJ7" s="17">
        <v>0</v>
      </c>
      <c r="AK7" s="18">
        <v>0</v>
      </c>
      <c r="AL7" s="17">
        <v>0</v>
      </c>
      <c r="AM7" s="18">
        <v>270000</v>
      </c>
      <c r="AN7" s="23">
        <v>150000</v>
      </c>
      <c r="AO7" s="17">
        <v>0</v>
      </c>
      <c r="AP7" s="17">
        <v>0</v>
      </c>
      <c r="AQ7" s="18">
        <f>IFERROR(VLOOKUP(Ohj.lask.[[#This Row],[Y-tunnus]],#REF!,COLUMN(#REF!),FALSE),0)</f>
        <v>0</v>
      </c>
      <c r="AR7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150000</v>
      </c>
      <c r="AS7" s="17">
        <f>Ohj.lask.[[#This Row],[Jaettava € 1]]+Ohj.lask.[[#This Row],[Päätös, € 9]]</f>
        <v>21536956</v>
      </c>
      <c r="AT7" s="113">
        <f>Ohj.lask.[[#This Row],[Jaettava € 2]]</f>
        <v>7376650</v>
      </c>
      <c r="AU7" s="17">
        <f>Ohj.lask.[[#This Row],[Jaettava € 3]]+Ohj.lask.[[#This Row],[Jaettava € 4]]+Ohj.lask.[[#This Row],[Jaettava € 5]]</f>
        <v>4536636</v>
      </c>
      <c r="AV7" s="42">
        <f>Ohj.lask.[[#This Row],[Jaettava € 6]]+Ohj.lask.[[#This Row],[Päätös, € 9]]</f>
        <v>33450242</v>
      </c>
      <c r="AW7" s="42">
        <v>909316</v>
      </c>
      <c r="AX7" s="23">
        <f>Ohj.lask.[[#This Row],[Perus-, suoritus- ja vaikuttavuusrahoitus yhteensä, €]]+Ohj.lask.[[#This Row],[Alv-korvaus, €]]</f>
        <v>34359558</v>
      </c>
    </row>
    <row r="8" spans="1:50" ht="12.75" x14ac:dyDescent="0.2">
      <c r="A8" s="134" t="s">
        <v>386</v>
      </c>
      <c r="B8" s="14" t="s">
        <v>18</v>
      </c>
      <c r="C8" s="14" t="s">
        <v>227</v>
      </c>
      <c r="D8" s="14" t="s">
        <v>392</v>
      </c>
      <c r="E8" s="14" t="s">
        <v>438</v>
      </c>
      <c r="F8" s="117">
        <v>329</v>
      </c>
      <c r="G8" s="124">
        <f>Ohj.lask.[[#This Row],[Tavoitteelliset opiskelija-vuodet]]-Ohj.lask.[[#This Row],[Järjestämisluvan opisk.vuosien vähimmäismäärä]]</f>
        <v>0</v>
      </c>
      <c r="H8" s="41">
        <v>329</v>
      </c>
      <c r="I8" s="15">
        <f>IFERROR(VLOOKUP($A8,'2.1 Toteut. op.vuodet'!$A:$T,COLUMN('2.1 Toteut. op.vuodet'!T:T),FALSE),0)</f>
        <v>1.2126158408804306</v>
      </c>
      <c r="J8" s="81">
        <f t="shared" si="0"/>
        <v>399</v>
      </c>
      <c r="K8" s="16">
        <f>IFERROR(Ohj.lask.[[#This Row],[Painotetut opiskelija-vuodet]]/Ohj.lask.[[#Totals],[Painotetut opiskelija-vuodet]],0)</f>
        <v>1.9485161975902872E-3</v>
      </c>
      <c r="L8" s="17">
        <f>ROUND(IFERROR('1.1 Jakotaulu'!L$11*Ohj.lask.[[#This Row],[%-osuus 1]],0),0)</f>
        <v>2454100</v>
      </c>
      <c r="M8" s="186">
        <f>IFERROR(ROUND(VLOOKUP($A8,'2.2 Tutk. ja osien pain. pist.'!$A:$Q,COLUMN('2.2 Tutk. ja osien pain. pist.'!P:P),FALSE),1),0)</f>
        <v>39046.699999999997</v>
      </c>
      <c r="N8" s="16">
        <f>IFERROR(Ohj.lask.[[#This Row],[Painotetut pisteet 2]]/Ohj.lask.[[#Totals],[Painotetut pisteet 2]],0)</f>
        <v>2.5066442600165839E-3</v>
      </c>
      <c r="O8" s="23">
        <f>ROUND(IFERROR('1.1 Jakotaulu'!K$12*Ohj.lask.[[#This Row],[%-osuus 2]],0),0)</f>
        <v>920395</v>
      </c>
      <c r="P8" s="187">
        <f>IFERROR(ROUND(VLOOKUP($A8,'2.3 Työll. ja jatko-opisk.'!$A:$K,COLUMN('2.3 Työll. ja jatko-opisk.'!I:I),FALSE),1),0)</f>
        <v>472.5</v>
      </c>
      <c r="Q8" s="16">
        <f>IFERROR(Ohj.lask.[[#This Row],[Painotetut pisteet 3]]/Ohj.lask.[[#Totals],[Painotetut pisteet 3]],0)</f>
        <v>2.3740986589985383E-3</v>
      </c>
      <c r="R8" s="17">
        <f>ROUND(IFERROR('1.1 Jakotaulu'!L$14*Ohj.lask.[[#This Row],[%-osuus 3]],0),0)</f>
        <v>326897</v>
      </c>
      <c r="S8" s="186">
        <f>IFERROR(ROUND(VLOOKUP($A8,'2.4 Aloittaneet palaute'!$A:$K,COLUMN('2.4 Aloittaneet palaute'!J:J),FALSE),1),0)</f>
        <v>2846.6</v>
      </c>
      <c r="T8" s="20">
        <f>IFERROR(Ohj.lask.[[#This Row],[Painotetut pisteet 4]]/Ohj.lask.[[#Totals],[Painotetut pisteet 4]],0)</f>
        <v>1.7293473575753413E-3</v>
      </c>
      <c r="U8" s="23">
        <f>ROUND(IFERROR('1.1 Jakotaulu'!M$16*Ohj.lask.[[#This Row],[%-osuus 4]],0),0)</f>
        <v>19843</v>
      </c>
      <c r="V8" s="81">
        <f>IFERROR(ROUND(VLOOKUP($A8,'2.5 Päättäneet palaute'!$A:$AC,COLUMN('2.5 Päättäneet palaute'!AB:AB),FALSE),1),0)</f>
        <v>14006.5</v>
      </c>
      <c r="W8" s="20">
        <f>IFERROR(Ohj.lask.[[#This Row],[Painotetut pisteet 5]]/Ohj.lask.[[#Totals],[Painotetut pisteet 5]],0)</f>
        <v>1.6246157594954859E-3</v>
      </c>
      <c r="X8" s="17">
        <f>ROUND(IFERROR('1.1 Jakotaulu'!M$17*Ohj.lask.[[#This Row],[%-osuus 5]],0),0)</f>
        <v>55925</v>
      </c>
      <c r="Y8" s="19">
        <f>IFERROR(Ohj.lask.[[#This Row],[Jaettava € 6]]/Ohj.lask.[[#Totals],[Jaettava € 6]],"")</f>
        <v>2.0865474384784994E-3</v>
      </c>
      <c r="Z8" s="23">
        <f>IFERROR(Ohj.lask.[[#This Row],[Jaettava € 1]]+Ohj.lask.[[#This Row],[Jaettava € 2]]+Ohj.lask.[[#This Row],[Jaettava € 3]]+Ohj.lask.[[#This Row],[Jaettava € 4]]+Ohj.lask.[[#This Row],[Jaettava € 5]],"")</f>
        <v>3777160</v>
      </c>
      <c r="AA8" s="17">
        <v>0</v>
      </c>
      <c r="AB8" s="17">
        <v>0</v>
      </c>
      <c r="AC8" s="18">
        <v>0</v>
      </c>
      <c r="AD8" s="17">
        <v>0</v>
      </c>
      <c r="AE8" s="18">
        <v>0</v>
      </c>
      <c r="AF8" s="17">
        <v>0</v>
      </c>
      <c r="AG8" s="18">
        <v>0</v>
      </c>
      <c r="AH8" s="17">
        <v>0</v>
      </c>
      <c r="AI8" s="18">
        <v>0</v>
      </c>
      <c r="AJ8" s="17">
        <v>0</v>
      </c>
      <c r="AK8" s="18">
        <v>0</v>
      </c>
      <c r="AL8" s="17">
        <v>0</v>
      </c>
      <c r="AM8" s="18">
        <v>0</v>
      </c>
      <c r="AN8" s="23">
        <v>0</v>
      </c>
      <c r="AO8" s="17">
        <v>0</v>
      </c>
      <c r="AP8" s="17">
        <v>0</v>
      </c>
      <c r="AQ8" s="18">
        <f>IFERROR(VLOOKUP(Ohj.lask.[[#This Row],[Y-tunnus]],#REF!,COLUMN(#REF!),FALSE),0)</f>
        <v>0</v>
      </c>
      <c r="AR8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8" s="17">
        <f>Ohj.lask.[[#This Row],[Jaettava € 1]]+Ohj.lask.[[#This Row],[Päätös, € 9]]</f>
        <v>2454100</v>
      </c>
      <c r="AT8" s="113">
        <f>Ohj.lask.[[#This Row],[Jaettava € 2]]</f>
        <v>920395</v>
      </c>
      <c r="AU8" s="17">
        <f>Ohj.lask.[[#This Row],[Jaettava € 3]]+Ohj.lask.[[#This Row],[Jaettava € 4]]+Ohj.lask.[[#This Row],[Jaettava € 5]]</f>
        <v>402665</v>
      </c>
      <c r="AV8" s="42">
        <f>Ohj.lask.[[#This Row],[Jaettava € 6]]+Ohj.lask.[[#This Row],[Päätös, € 9]]</f>
        <v>3777160</v>
      </c>
      <c r="AW8" s="42">
        <v>366266</v>
      </c>
      <c r="AX8" s="23">
        <f>Ohj.lask.[[#This Row],[Perus-, suoritus- ja vaikuttavuusrahoitus yhteensä, €]]+Ohj.lask.[[#This Row],[Alv-korvaus, €]]</f>
        <v>4143426</v>
      </c>
    </row>
    <row r="9" spans="1:50" ht="12.75" x14ac:dyDescent="0.2">
      <c r="A9" s="134" t="s">
        <v>383</v>
      </c>
      <c r="B9" s="14" t="s">
        <v>181</v>
      </c>
      <c r="C9" s="14" t="s">
        <v>216</v>
      </c>
      <c r="D9" s="14" t="s">
        <v>392</v>
      </c>
      <c r="E9" s="14" t="s">
        <v>438</v>
      </c>
      <c r="F9" s="117">
        <v>20</v>
      </c>
      <c r="G9" s="124">
        <f>Ohj.lask.[[#This Row],[Tavoitteelliset opiskelija-vuodet]]-Ohj.lask.[[#This Row],[Järjestämisluvan opisk.vuosien vähimmäismäärä]]</f>
        <v>0</v>
      </c>
      <c r="H9" s="41">
        <v>20</v>
      </c>
      <c r="I9" s="15">
        <f>IFERROR(VLOOKUP($A9,'2.1 Toteut. op.vuodet'!$A:$T,COLUMN('2.1 Toteut. op.vuodet'!T:T),FALSE),0)</f>
        <v>0.85999999999999688</v>
      </c>
      <c r="J9" s="81">
        <f t="shared" si="0"/>
        <v>17.2</v>
      </c>
      <c r="K9" s="16">
        <f>IFERROR(Ohj.lask.[[#This Row],[Painotetut opiskelija-vuodet]]/Ohj.lask.[[#Totals],[Painotetut opiskelija-vuodet]],0)</f>
        <v>8.399618696379182E-5</v>
      </c>
      <c r="L9" s="17">
        <f>ROUND(IFERROR('1.1 Jakotaulu'!L$11*Ohj.lask.[[#This Row],[%-osuus 1]],0),0)</f>
        <v>105791</v>
      </c>
      <c r="M9" s="186">
        <f>IFERROR(ROUND(VLOOKUP($A9,'2.2 Tutk. ja osien pain. pist.'!$A:$Q,COLUMN('2.2 Tutk. ja osien pain. pist.'!P:P),FALSE),1),0)</f>
        <v>0</v>
      </c>
      <c r="N9" s="16">
        <f>IFERROR(Ohj.lask.[[#This Row],[Painotetut pisteet 2]]/Ohj.lask.[[#Totals],[Painotetut pisteet 2]],0)</f>
        <v>0</v>
      </c>
      <c r="O9" s="23">
        <f>ROUND(IFERROR('1.1 Jakotaulu'!K$12*Ohj.lask.[[#This Row],[%-osuus 2]],0),0)</f>
        <v>0</v>
      </c>
      <c r="P9" s="187">
        <f>IFERROR(ROUND(VLOOKUP($A9,'2.3 Työll. ja jatko-opisk.'!$A:$K,COLUMN('2.3 Työll. ja jatko-opisk.'!I:I),FALSE),1),0)</f>
        <v>0</v>
      </c>
      <c r="Q9" s="16">
        <f>IFERROR(Ohj.lask.[[#This Row],[Painotetut pisteet 3]]/Ohj.lask.[[#Totals],[Painotetut pisteet 3]],0)</f>
        <v>0</v>
      </c>
      <c r="R9" s="17">
        <f>ROUND(IFERROR('1.1 Jakotaulu'!L$14*Ohj.lask.[[#This Row],[%-osuus 3]],0),0)</f>
        <v>0</v>
      </c>
      <c r="S9" s="186">
        <f>IFERROR(ROUND(VLOOKUP($A9,'2.4 Aloittaneet palaute'!$A:$K,COLUMN('2.4 Aloittaneet palaute'!J:J),FALSE),1),0)</f>
        <v>0</v>
      </c>
      <c r="T9" s="20">
        <f>IFERROR(Ohj.lask.[[#This Row],[Painotetut pisteet 4]]/Ohj.lask.[[#Totals],[Painotetut pisteet 4]],0)</f>
        <v>0</v>
      </c>
      <c r="U9" s="23">
        <f>ROUND(IFERROR('1.1 Jakotaulu'!M$16*Ohj.lask.[[#This Row],[%-osuus 4]],0),0)</f>
        <v>0</v>
      </c>
      <c r="V9" s="81">
        <f>IFERROR(ROUND(VLOOKUP($A9,'2.5 Päättäneet palaute'!$A:$AC,COLUMN('2.5 Päättäneet palaute'!AB:AB),FALSE),1),0)</f>
        <v>0</v>
      </c>
      <c r="W9" s="20">
        <f>IFERROR(Ohj.lask.[[#This Row],[Painotetut pisteet 5]]/Ohj.lask.[[#Totals],[Painotetut pisteet 5]],0)</f>
        <v>0</v>
      </c>
      <c r="X9" s="17">
        <f>ROUND(IFERROR('1.1 Jakotaulu'!M$17*Ohj.lask.[[#This Row],[%-osuus 5]],0),0)</f>
        <v>0</v>
      </c>
      <c r="Y9" s="19">
        <f>IFERROR(Ohj.lask.[[#This Row],[Jaettava € 6]]/Ohj.lask.[[#Totals],[Jaettava € 6]],"")</f>
        <v>5.8440187882980586E-5</v>
      </c>
      <c r="Z9" s="23">
        <f>IFERROR(Ohj.lask.[[#This Row],[Jaettava € 1]]+Ohj.lask.[[#This Row],[Jaettava € 2]]+Ohj.lask.[[#This Row],[Jaettava € 3]]+Ohj.lask.[[#This Row],[Jaettava € 4]]+Ohj.lask.[[#This Row],[Jaettava € 5]],"")</f>
        <v>105791</v>
      </c>
      <c r="AA9" s="17">
        <v>2515057</v>
      </c>
      <c r="AB9" s="17">
        <v>1250000</v>
      </c>
      <c r="AC9" s="18">
        <v>0</v>
      </c>
      <c r="AD9" s="17">
        <v>0</v>
      </c>
      <c r="AE9" s="18">
        <v>0</v>
      </c>
      <c r="AF9" s="17">
        <v>0</v>
      </c>
      <c r="AG9" s="18">
        <v>0</v>
      </c>
      <c r="AH9" s="17">
        <v>0</v>
      </c>
      <c r="AI9" s="18">
        <v>0</v>
      </c>
      <c r="AJ9" s="17">
        <v>0</v>
      </c>
      <c r="AK9" s="18">
        <v>0</v>
      </c>
      <c r="AL9" s="17">
        <v>0</v>
      </c>
      <c r="AM9" s="18">
        <v>0</v>
      </c>
      <c r="AN9" s="23">
        <v>0</v>
      </c>
      <c r="AO9" s="17">
        <v>0</v>
      </c>
      <c r="AP9" s="17">
        <v>0</v>
      </c>
      <c r="AQ9" s="18">
        <f>IFERROR(VLOOKUP(Ohj.lask.[[#This Row],[Y-tunnus]],#REF!,COLUMN(#REF!),FALSE),0)</f>
        <v>0</v>
      </c>
      <c r="AR9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1250000</v>
      </c>
      <c r="AS9" s="17">
        <f>Ohj.lask.[[#This Row],[Jaettava € 1]]+Ohj.lask.[[#This Row],[Päätös, € 9]]</f>
        <v>1355791</v>
      </c>
      <c r="AT9" s="113">
        <f>Ohj.lask.[[#This Row],[Jaettava € 2]]</f>
        <v>0</v>
      </c>
      <c r="AU9" s="17">
        <f>Ohj.lask.[[#This Row],[Jaettava € 3]]+Ohj.lask.[[#This Row],[Jaettava € 4]]+Ohj.lask.[[#This Row],[Jaettava € 5]]</f>
        <v>0</v>
      </c>
      <c r="AV9" s="42">
        <f>Ohj.lask.[[#This Row],[Jaettava € 6]]+Ohj.lask.[[#This Row],[Päätös, € 9]]</f>
        <v>1355791</v>
      </c>
      <c r="AW9" s="42">
        <v>37483</v>
      </c>
      <c r="AX9" s="23">
        <f>Ohj.lask.[[#This Row],[Perus-, suoritus- ja vaikuttavuusrahoitus yhteensä, €]]+Ohj.lask.[[#This Row],[Alv-korvaus, €]]</f>
        <v>1393274</v>
      </c>
    </row>
    <row r="10" spans="1:50" ht="12.75" x14ac:dyDescent="0.2">
      <c r="A10" s="134" t="s">
        <v>385</v>
      </c>
      <c r="B10" s="14" t="s">
        <v>19</v>
      </c>
      <c r="C10" s="14" t="s">
        <v>227</v>
      </c>
      <c r="D10" s="14" t="s">
        <v>392</v>
      </c>
      <c r="E10" s="14" t="s">
        <v>438</v>
      </c>
      <c r="F10" s="117">
        <v>79</v>
      </c>
      <c r="G10" s="124">
        <f>Ohj.lask.[[#This Row],[Tavoitteelliset opiskelija-vuodet]]-Ohj.lask.[[#This Row],[Järjestämisluvan opisk.vuosien vähimmäismäärä]]</f>
        <v>18</v>
      </c>
      <c r="H10" s="41">
        <v>97</v>
      </c>
      <c r="I10" s="15">
        <f>IFERROR(VLOOKUP($A10,'2.1 Toteut. op.vuodet'!$A:$T,COLUMN('2.1 Toteut. op.vuodet'!T:T),FALSE),0)</f>
        <v>5.3395556609740584</v>
      </c>
      <c r="J10" s="81">
        <f t="shared" si="0"/>
        <v>517.9</v>
      </c>
      <c r="K10" s="16">
        <f>IFERROR(Ohj.lask.[[#This Row],[Painotetut opiskelija-vuodet]]/Ohj.lask.[[#Totals],[Painotetut opiskelija-vuodet]],0)</f>
        <v>2.5291642574737086E-3</v>
      </c>
      <c r="L10" s="17">
        <f>ROUND(IFERROR('1.1 Jakotaulu'!L$11*Ohj.lask.[[#This Row],[%-osuus 1]],0),0)</f>
        <v>3185409</v>
      </c>
      <c r="M10" s="186">
        <f>IFERROR(ROUND(VLOOKUP($A10,'2.2 Tutk. ja osien pain. pist.'!$A:$Q,COLUMN('2.2 Tutk. ja osien pain. pist.'!P:P),FALSE),1),0)</f>
        <v>14673.2</v>
      </c>
      <c r="N10" s="16">
        <f>IFERROR(Ohj.lask.[[#This Row],[Painotetut pisteet 2]]/Ohj.lask.[[#Totals],[Painotetut pisteet 2]],0)</f>
        <v>9.4196161406918748E-4</v>
      </c>
      <c r="O10" s="23">
        <f>ROUND(IFERROR('1.1 Jakotaulu'!K$12*Ohj.lask.[[#This Row],[%-osuus 2]],0),0)</f>
        <v>345871</v>
      </c>
      <c r="P10" s="187">
        <f>IFERROR(ROUND(VLOOKUP($A10,'2.3 Työll. ja jatko-opisk.'!$A:$K,COLUMN('2.3 Työll. ja jatko-opisk.'!I:I),FALSE),1),0)</f>
        <v>64.3</v>
      </c>
      <c r="Q10" s="16">
        <f>IFERROR(Ohj.lask.[[#This Row],[Painotetut pisteet 3]]/Ohj.lask.[[#Totals],[Painotetut pisteet 3]],0)</f>
        <v>3.2307839952085924E-4</v>
      </c>
      <c r="R10" s="17">
        <f>ROUND(IFERROR('1.1 Jakotaulu'!L$14*Ohj.lask.[[#This Row],[%-osuus 3]],0),0)</f>
        <v>44486</v>
      </c>
      <c r="S10" s="186">
        <f>IFERROR(ROUND(VLOOKUP($A10,'2.4 Aloittaneet palaute'!$A:$K,COLUMN('2.4 Aloittaneet palaute'!J:J),FALSE),1),0)</f>
        <v>330.3</v>
      </c>
      <c r="T10" s="20">
        <f>IFERROR(Ohj.lask.[[#This Row],[Painotetut pisteet 4]]/Ohj.lask.[[#Totals],[Painotetut pisteet 4]],0)</f>
        <v>2.0066164273418649E-4</v>
      </c>
      <c r="U10" s="23">
        <f>ROUND(IFERROR('1.1 Jakotaulu'!M$16*Ohj.lask.[[#This Row],[%-osuus 4]],0),0)</f>
        <v>2302</v>
      </c>
      <c r="V10" s="81">
        <f>IFERROR(ROUND(VLOOKUP($A10,'2.5 Päättäneet palaute'!$A:$AC,COLUMN('2.5 Päättäneet palaute'!AB:AB),FALSE),1),0)</f>
        <v>1738</v>
      </c>
      <c r="W10" s="20">
        <f>IFERROR(Ohj.lask.[[#This Row],[Painotetut pisteet 5]]/Ohj.lask.[[#Totals],[Painotetut pisteet 5]],0)</f>
        <v>2.0159084639297142E-4</v>
      </c>
      <c r="X10" s="17">
        <f>ROUND(IFERROR('1.1 Jakotaulu'!M$17*Ohj.lask.[[#This Row],[%-osuus 5]],0),0)</f>
        <v>6939</v>
      </c>
      <c r="Y10" s="19">
        <f>IFERROR(Ohj.lask.[[#This Row],[Jaettava € 6]]/Ohj.lask.[[#Totals],[Jaettava € 6]],"")</f>
        <v>1.9803998699492449E-3</v>
      </c>
      <c r="Z10" s="23">
        <f>IFERROR(Ohj.lask.[[#This Row],[Jaettava € 1]]+Ohj.lask.[[#This Row],[Jaettava € 2]]+Ohj.lask.[[#This Row],[Jaettava € 3]]+Ohj.lask.[[#This Row],[Jaettava € 4]]+Ohj.lask.[[#This Row],[Jaettava € 5]],"")</f>
        <v>3585007</v>
      </c>
      <c r="AA10" s="17">
        <v>0</v>
      </c>
      <c r="AB10" s="17">
        <v>0</v>
      </c>
      <c r="AC10" s="18">
        <v>0</v>
      </c>
      <c r="AD10" s="17">
        <v>0</v>
      </c>
      <c r="AE10" s="18">
        <v>0</v>
      </c>
      <c r="AF10" s="17">
        <v>0</v>
      </c>
      <c r="AG10" s="18">
        <v>140000</v>
      </c>
      <c r="AH10" s="17">
        <v>0</v>
      </c>
      <c r="AI10" s="18">
        <v>0</v>
      </c>
      <c r="AJ10" s="17">
        <v>0</v>
      </c>
      <c r="AK10" s="18">
        <v>0</v>
      </c>
      <c r="AL10" s="17">
        <v>0</v>
      </c>
      <c r="AM10" s="18">
        <v>0</v>
      </c>
      <c r="AN10" s="23">
        <v>0</v>
      </c>
      <c r="AO10" s="17">
        <v>0</v>
      </c>
      <c r="AP10" s="17">
        <v>0</v>
      </c>
      <c r="AQ10" s="18">
        <f>IFERROR(VLOOKUP(Ohj.lask.[[#This Row],[Y-tunnus]],#REF!,COLUMN(#REF!),FALSE),0)</f>
        <v>0</v>
      </c>
      <c r="AR10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0" s="17">
        <f>Ohj.lask.[[#This Row],[Jaettava € 1]]+Ohj.lask.[[#This Row],[Päätös, € 9]]</f>
        <v>3185409</v>
      </c>
      <c r="AT10" s="113">
        <f>Ohj.lask.[[#This Row],[Jaettava € 2]]</f>
        <v>345871</v>
      </c>
      <c r="AU10" s="17">
        <f>Ohj.lask.[[#This Row],[Jaettava € 3]]+Ohj.lask.[[#This Row],[Jaettava € 4]]+Ohj.lask.[[#This Row],[Jaettava € 5]]</f>
        <v>53727</v>
      </c>
      <c r="AV10" s="42">
        <f>Ohj.lask.[[#This Row],[Jaettava € 6]]+Ohj.lask.[[#This Row],[Päätös, € 9]]</f>
        <v>3585007</v>
      </c>
      <c r="AW10" s="42">
        <v>134874</v>
      </c>
      <c r="AX10" s="23">
        <f>Ohj.lask.[[#This Row],[Perus-, suoritus- ja vaikuttavuusrahoitus yhteensä, €]]+Ohj.lask.[[#This Row],[Alv-korvaus, €]]</f>
        <v>3719881</v>
      </c>
    </row>
    <row r="11" spans="1:50" ht="12.75" x14ac:dyDescent="0.2">
      <c r="A11" s="134" t="s">
        <v>384</v>
      </c>
      <c r="B11" s="14" t="s">
        <v>22</v>
      </c>
      <c r="C11" s="14" t="s">
        <v>216</v>
      </c>
      <c r="D11" s="14" t="s">
        <v>392</v>
      </c>
      <c r="E11" s="14" t="s">
        <v>438</v>
      </c>
      <c r="F11" s="117">
        <v>986</v>
      </c>
      <c r="G11" s="124">
        <f>Ohj.lask.[[#This Row],[Tavoitteelliset opiskelija-vuodet]]-Ohj.lask.[[#This Row],[Järjestämisluvan opisk.vuosien vähimmäismäärä]]</f>
        <v>140</v>
      </c>
      <c r="H11" s="41">
        <v>1126</v>
      </c>
      <c r="I11" s="15">
        <f>IFERROR(VLOOKUP($A11,'2.1 Toteut. op.vuodet'!$A:$T,COLUMN('2.1 Toteut. op.vuodet'!T:T),FALSE),0)</f>
        <v>5.1584514549266105</v>
      </c>
      <c r="J11" s="81">
        <f t="shared" si="0"/>
        <v>5808.4</v>
      </c>
      <c r="K11" s="16">
        <f>IFERROR(Ohj.lask.[[#This Row],[Painotetut opiskelija-vuodet]]/Ohj.lask.[[#Totals],[Painotetut opiskelija-vuodet]],0)</f>
        <v>2.8365316997702814E-2</v>
      </c>
      <c r="L11" s="17">
        <f>ROUND(IFERROR('1.1 Jakotaulu'!L$11*Ohj.lask.[[#This Row],[%-osuus 1]],0),0)</f>
        <v>35725294</v>
      </c>
      <c r="M11" s="186">
        <f>IFERROR(ROUND(VLOOKUP($A11,'2.2 Tutk. ja osien pain. pist.'!$A:$Q,COLUMN('2.2 Tutk. ja osien pain. pist.'!P:P),FALSE),1),0)</f>
        <v>243015</v>
      </c>
      <c r="N11" s="16">
        <f>IFERROR(Ohj.lask.[[#This Row],[Painotetut pisteet 2]]/Ohj.lask.[[#Totals],[Painotetut pisteet 2]],0)</f>
        <v>1.5600605296937518E-2</v>
      </c>
      <c r="O11" s="23">
        <f>ROUND(IFERROR('1.1 Jakotaulu'!K$12*Ohj.lask.[[#This Row],[%-osuus 2]],0),0)</f>
        <v>5728261</v>
      </c>
      <c r="P11" s="187">
        <f>IFERROR(ROUND(VLOOKUP($A11,'2.3 Työll. ja jatko-opisk.'!$A:$K,COLUMN('2.3 Työll. ja jatko-opisk.'!I:I),FALSE),1),0)</f>
        <v>402.8</v>
      </c>
      <c r="Q11" s="16">
        <f>IFERROR(Ohj.lask.[[#This Row],[Painotetut pisteet 3]]/Ohj.lask.[[#Totals],[Painotetut pisteet 3]],0)</f>
        <v>2.0238877033748387E-3</v>
      </c>
      <c r="R11" s="17">
        <f>ROUND(IFERROR('1.1 Jakotaulu'!L$14*Ohj.lask.[[#This Row],[%-osuus 3]],0),0)</f>
        <v>278676</v>
      </c>
      <c r="S11" s="186">
        <f>IFERROR(ROUND(VLOOKUP($A11,'2.4 Aloittaneet palaute'!$A:$K,COLUMN('2.4 Aloittaneet palaute'!J:J),FALSE),1),0)</f>
        <v>6265.6</v>
      </c>
      <c r="T11" s="20">
        <f>IFERROR(Ohj.lask.[[#This Row],[Painotetut pisteet 4]]/Ohj.lask.[[#Totals],[Painotetut pisteet 4]],0)</f>
        <v>3.8064353276273657E-3</v>
      </c>
      <c r="U11" s="23">
        <f>ROUND(IFERROR('1.1 Jakotaulu'!M$16*Ohj.lask.[[#This Row],[%-osuus 4]],0),0)</f>
        <v>43677</v>
      </c>
      <c r="V11" s="81">
        <f>IFERROR(ROUND(VLOOKUP($A11,'2.5 Päättäneet palaute'!$A:$AC,COLUMN('2.5 Päättäneet palaute'!AB:AB),FALSE),1),0)</f>
        <v>29301.3</v>
      </c>
      <c r="W11" s="20">
        <f>IFERROR(Ohj.lask.[[#This Row],[Painotetut pisteet 5]]/Ohj.lask.[[#Totals],[Painotetut pisteet 5]],0)</f>
        <v>3.3986616038057384E-3</v>
      </c>
      <c r="X11" s="17">
        <f>ROUND(IFERROR('1.1 Jakotaulu'!M$17*Ohj.lask.[[#This Row],[%-osuus 5]],0),0)</f>
        <v>116993</v>
      </c>
      <c r="Y11" s="19">
        <f>IFERROR(Ohj.lask.[[#This Row],[Jaettava € 6]]/Ohj.lask.[[#Totals],[Jaettava € 6]],"")</f>
        <v>2.314212934373534E-2</v>
      </c>
      <c r="Z11" s="23">
        <f>IFERROR(Ohj.lask.[[#This Row],[Jaettava € 1]]+Ohj.lask.[[#This Row],[Jaettava € 2]]+Ohj.lask.[[#This Row],[Jaettava € 3]]+Ohj.lask.[[#This Row],[Jaettava € 4]]+Ohj.lask.[[#This Row],[Jaettava € 5]],"")</f>
        <v>41892901</v>
      </c>
      <c r="AA11" s="17">
        <v>0</v>
      </c>
      <c r="AB11" s="17">
        <v>0</v>
      </c>
      <c r="AC11" s="18">
        <v>0</v>
      </c>
      <c r="AD11" s="17">
        <v>0</v>
      </c>
      <c r="AE11" s="18">
        <v>0</v>
      </c>
      <c r="AF11" s="17">
        <v>0</v>
      </c>
      <c r="AG11" s="18">
        <v>440000</v>
      </c>
      <c r="AH11" s="17">
        <v>0</v>
      </c>
      <c r="AI11" s="18">
        <v>0</v>
      </c>
      <c r="AJ11" s="17">
        <v>0</v>
      </c>
      <c r="AK11" s="18">
        <v>0</v>
      </c>
      <c r="AL11" s="17">
        <v>0</v>
      </c>
      <c r="AM11" s="18">
        <v>135000</v>
      </c>
      <c r="AN11" s="23">
        <v>0</v>
      </c>
      <c r="AO11" s="17">
        <v>0</v>
      </c>
      <c r="AP11" s="17">
        <v>0</v>
      </c>
      <c r="AQ11" s="18">
        <f>IFERROR(VLOOKUP(Ohj.lask.[[#This Row],[Y-tunnus]],#REF!,COLUMN(#REF!),FALSE),0)</f>
        <v>0</v>
      </c>
      <c r="AR11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1" s="17">
        <f>Ohj.lask.[[#This Row],[Jaettava € 1]]+Ohj.lask.[[#This Row],[Päätös, € 9]]</f>
        <v>35725294</v>
      </c>
      <c r="AT11" s="113">
        <f>Ohj.lask.[[#This Row],[Jaettava € 2]]</f>
        <v>5728261</v>
      </c>
      <c r="AU11" s="17">
        <f>Ohj.lask.[[#This Row],[Jaettava € 3]]+Ohj.lask.[[#This Row],[Jaettava € 4]]+Ohj.lask.[[#This Row],[Jaettava € 5]]</f>
        <v>439346</v>
      </c>
      <c r="AV11" s="42">
        <f>Ohj.lask.[[#This Row],[Jaettava € 6]]+Ohj.lask.[[#This Row],[Päätös, € 9]]</f>
        <v>41892901</v>
      </c>
      <c r="AW11" s="42">
        <v>2164209</v>
      </c>
      <c r="AX11" s="23">
        <f>Ohj.lask.[[#This Row],[Perus-, suoritus- ja vaikuttavuusrahoitus yhteensä, €]]+Ohj.lask.[[#This Row],[Alv-korvaus, €]]</f>
        <v>44057110</v>
      </c>
    </row>
    <row r="12" spans="1:50" ht="12.75" x14ac:dyDescent="0.2">
      <c r="A12" s="134" t="s">
        <v>382</v>
      </c>
      <c r="B12" s="14" t="s">
        <v>198</v>
      </c>
      <c r="C12" s="14" t="s">
        <v>216</v>
      </c>
      <c r="D12" s="14" t="s">
        <v>392</v>
      </c>
      <c r="E12" s="14" t="s">
        <v>438</v>
      </c>
      <c r="F12" s="117">
        <v>68</v>
      </c>
      <c r="G12" s="124">
        <f>Ohj.lask.[[#This Row],[Tavoitteelliset opiskelija-vuodet]]-Ohj.lask.[[#This Row],[Järjestämisluvan opisk.vuosien vähimmäismäärä]]</f>
        <v>1</v>
      </c>
      <c r="H12" s="41">
        <v>69</v>
      </c>
      <c r="I12" s="15">
        <f>IFERROR(VLOOKUP($A12,'2.1 Toteut. op.vuodet'!$A:$T,COLUMN('2.1 Toteut. op.vuodet'!T:T),FALSE),0)</f>
        <v>0.5690410155761948</v>
      </c>
      <c r="J12" s="81">
        <f t="shared" si="0"/>
        <v>39.299999999999997</v>
      </c>
      <c r="K12" s="16">
        <f>IFERROR(Ohj.lask.[[#This Row],[Painotetut opiskelija-vuodet]]/Ohj.lask.[[#Totals],[Painotetut opiskelija-vuodet]],0)</f>
        <v>1.9192152021378016E-4</v>
      </c>
      <c r="L12" s="17">
        <f>ROUND(IFERROR('1.1 Jakotaulu'!L$11*Ohj.lask.[[#This Row],[%-osuus 1]],0),0)</f>
        <v>241720</v>
      </c>
      <c r="M12" s="186">
        <f>IFERROR(ROUND(VLOOKUP($A12,'2.2 Tutk. ja osien pain. pist.'!$A:$Q,COLUMN('2.2 Tutk. ja osien pain. pist.'!P:P),FALSE),1),0)</f>
        <v>4463.3999999999996</v>
      </c>
      <c r="N12" s="16">
        <f>IFERROR(Ohj.lask.[[#This Row],[Painotetut pisteet 2]]/Ohj.lask.[[#Totals],[Painotetut pisteet 2]],0)</f>
        <v>2.8653269009053315E-4</v>
      </c>
      <c r="O12" s="23">
        <f>ROUND(IFERROR('1.1 Jakotaulu'!K$12*Ohj.lask.[[#This Row],[%-osuus 2]],0),0)</f>
        <v>105210</v>
      </c>
      <c r="P12" s="187">
        <f>IFERROR(ROUND(VLOOKUP($A12,'2.3 Työll. ja jatko-opisk.'!$A:$K,COLUMN('2.3 Työll. ja jatko-opisk.'!I:I),FALSE),1),0)</f>
        <v>242.9</v>
      </c>
      <c r="Q12" s="16">
        <f>IFERROR(Ohj.lask.[[#This Row],[Painotetut pisteet 3]]/Ohj.lask.[[#Totals],[Painotetut pisteet 3]],0)</f>
        <v>1.2204625698851745E-3</v>
      </c>
      <c r="R12" s="17">
        <f>ROUND(IFERROR('1.1 Jakotaulu'!L$14*Ohj.lask.[[#This Row],[%-osuus 3]],0),0)</f>
        <v>168049</v>
      </c>
      <c r="S12" s="186">
        <f>IFERROR(ROUND(VLOOKUP($A12,'2.4 Aloittaneet palaute'!$A:$K,COLUMN('2.4 Aloittaneet palaute'!J:J),FALSE),1),0)</f>
        <v>1105.7</v>
      </c>
      <c r="T12" s="20">
        <f>IFERROR(Ohj.lask.[[#This Row],[Painotetut pisteet 4]]/Ohj.lask.[[#Totals],[Painotetut pisteet 4]],0)</f>
        <v>6.7172745495364821E-4</v>
      </c>
      <c r="U12" s="23">
        <f>ROUND(IFERROR('1.1 Jakotaulu'!M$16*Ohj.lask.[[#This Row],[%-osuus 4]],0),0)</f>
        <v>7708</v>
      </c>
      <c r="V12" s="81">
        <f>IFERROR(ROUND(VLOOKUP($A12,'2.5 Päättäneet palaute'!$A:$AC,COLUMN('2.5 Päättäneet palaute'!AB:AB),FALSE),1),0)</f>
        <v>21010.7</v>
      </c>
      <c r="W12" s="20">
        <f>IFERROR(Ohj.lask.[[#This Row],[Painotetut pisteet 5]]/Ohj.lask.[[#Totals],[Painotetut pisteet 5]],0)</f>
        <v>2.4370338298669763E-3</v>
      </c>
      <c r="X12" s="17">
        <f>ROUND(IFERROR('1.1 Jakotaulu'!M$17*Ohj.lask.[[#This Row],[%-osuus 5]],0),0)</f>
        <v>83891</v>
      </c>
      <c r="Y12" s="19">
        <f>IFERROR(Ohj.lask.[[#This Row],[Jaettava € 6]]/Ohj.lask.[[#Totals],[Jaettava € 6]],"")</f>
        <v>3.3508079407211007E-4</v>
      </c>
      <c r="Z12" s="23">
        <f>IFERROR(Ohj.lask.[[#This Row],[Jaettava € 1]]+Ohj.lask.[[#This Row],[Jaettava € 2]]+Ohj.lask.[[#This Row],[Jaettava € 3]]+Ohj.lask.[[#This Row],[Jaettava € 4]]+Ohj.lask.[[#This Row],[Jaettava € 5]],"")</f>
        <v>606578</v>
      </c>
      <c r="AA12" s="17">
        <v>0</v>
      </c>
      <c r="AB12" s="17">
        <v>0</v>
      </c>
      <c r="AC12" s="18">
        <v>0</v>
      </c>
      <c r="AD12" s="17">
        <v>0</v>
      </c>
      <c r="AE12" s="18">
        <v>0</v>
      </c>
      <c r="AF12" s="17">
        <v>0</v>
      </c>
      <c r="AG12" s="18">
        <v>0</v>
      </c>
      <c r="AH12" s="17">
        <v>0</v>
      </c>
      <c r="AI12" s="18">
        <v>0</v>
      </c>
      <c r="AJ12" s="17">
        <v>0</v>
      </c>
      <c r="AK12" s="18">
        <v>0</v>
      </c>
      <c r="AL12" s="17">
        <v>0</v>
      </c>
      <c r="AM12" s="18">
        <v>0</v>
      </c>
      <c r="AN12" s="23">
        <v>0</v>
      </c>
      <c r="AO12" s="17">
        <v>0</v>
      </c>
      <c r="AP12" s="17">
        <v>0</v>
      </c>
      <c r="AQ12" s="18">
        <f>IFERROR(VLOOKUP(Ohj.lask.[[#This Row],[Y-tunnus]],#REF!,COLUMN(#REF!),FALSE),0)</f>
        <v>0</v>
      </c>
      <c r="AR12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2" s="17">
        <f>Ohj.lask.[[#This Row],[Jaettava € 1]]+Ohj.lask.[[#This Row],[Päätös, € 9]]</f>
        <v>241720</v>
      </c>
      <c r="AT12" s="113">
        <f>Ohj.lask.[[#This Row],[Jaettava € 2]]</f>
        <v>105210</v>
      </c>
      <c r="AU12" s="17">
        <f>Ohj.lask.[[#This Row],[Jaettava € 3]]+Ohj.lask.[[#This Row],[Jaettava € 4]]+Ohj.lask.[[#This Row],[Jaettava € 5]]</f>
        <v>259648</v>
      </c>
      <c r="AV12" s="42">
        <f>Ohj.lask.[[#This Row],[Jaettava € 6]]+Ohj.lask.[[#This Row],[Päätös, € 9]]</f>
        <v>606578</v>
      </c>
      <c r="AW12" s="42">
        <v>31464</v>
      </c>
      <c r="AX12" s="23">
        <f>Ohj.lask.[[#This Row],[Perus-, suoritus- ja vaikuttavuusrahoitus yhteensä, €]]+Ohj.lask.[[#This Row],[Alv-korvaus, €]]</f>
        <v>638042</v>
      </c>
    </row>
    <row r="13" spans="1:50" ht="12.75" x14ac:dyDescent="0.2">
      <c r="A13" s="134" t="s">
        <v>381</v>
      </c>
      <c r="B13" s="14" t="s">
        <v>23</v>
      </c>
      <c r="C13" s="107" t="s">
        <v>216</v>
      </c>
      <c r="D13" s="107" t="s">
        <v>392</v>
      </c>
      <c r="E13" s="107" t="s">
        <v>439</v>
      </c>
      <c r="F13" s="116">
        <v>1592</v>
      </c>
      <c r="G13" s="124">
        <f>Ohj.lask.[[#This Row],[Tavoitteelliset opiskelija-vuodet]]-Ohj.lask.[[#This Row],[Järjestämisluvan opisk.vuosien vähimmäismäärä]]</f>
        <v>137</v>
      </c>
      <c r="H13" s="41">
        <v>1729</v>
      </c>
      <c r="I13" s="15">
        <f>IFERROR(VLOOKUP($A13,'2.1 Toteut. op.vuodet'!$A:$T,COLUMN('2.1 Toteut. op.vuodet'!T:T),FALSE),0)</f>
        <v>1.0616838235556545</v>
      </c>
      <c r="J13" s="81">
        <f t="shared" si="0"/>
        <v>1835.7</v>
      </c>
      <c r="K13" s="16">
        <f>IFERROR(Ohj.lask.[[#This Row],[Painotetut opiskelija-vuodet]]/Ohj.lask.[[#Totals],[Painotetut opiskelija-vuodet]],0)</f>
        <v>8.9646395586879448E-3</v>
      </c>
      <c r="L13" s="17">
        <f>ROUND(IFERROR('1.1 Jakotaulu'!L$11*Ohj.lask.[[#This Row],[%-osuus 1]],0),0)</f>
        <v>11290704</v>
      </c>
      <c r="M13" s="186">
        <f>IFERROR(ROUND(VLOOKUP($A13,'2.2 Tutk. ja osien pain. pist.'!$A:$Q,COLUMN('2.2 Tutk. ja osien pain. pist.'!P:P),FALSE),1),0)</f>
        <v>142649.5</v>
      </c>
      <c r="N13" s="16">
        <f>IFERROR(Ohj.lask.[[#This Row],[Painotetut pisteet 2]]/Ohj.lask.[[#Totals],[Painotetut pisteet 2]],0)</f>
        <v>9.1575357295043038E-3</v>
      </c>
      <c r="O13" s="23">
        <f>ROUND(IFERROR('1.1 Jakotaulu'!K$12*Ohj.lask.[[#This Row],[%-osuus 2]],0),0)</f>
        <v>3362482</v>
      </c>
      <c r="P13" s="187">
        <f>IFERROR(ROUND(VLOOKUP($A13,'2.3 Työll. ja jatko-opisk.'!$A:$K,COLUMN('2.3 Työll. ja jatko-opisk.'!I:I),FALSE),1),0)</f>
        <v>1950.5</v>
      </c>
      <c r="Q13" s="20">
        <f>IFERROR(Ohj.lask.[[#This Row],[Painotetut pisteet 3]]/Ohj.lask.[[#Totals],[Painotetut pisteet 3]],0)</f>
        <v>9.800379755294495E-3</v>
      </c>
      <c r="R13" s="17">
        <f>ROUND(IFERROR('1.1 Jakotaulu'!L$14*Ohj.lask.[[#This Row],[%-osuus 3]],0),0)</f>
        <v>1349446</v>
      </c>
      <c r="S13" s="186">
        <f>IFERROR(ROUND(VLOOKUP($A13,'2.4 Aloittaneet palaute'!$A:$K,COLUMN('2.4 Aloittaneet palaute'!J:J),FALSE),1),0)</f>
        <v>15753.8</v>
      </c>
      <c r="T13" s="20">
        <f>IFERROR(Ohj.lask.[[#This Row],[Painotetut pisteet 4]]/Ohj.lask.[[#Totals],[Painotetut pisteet 4]],0)</f>
        <v>9.5706430133388632E-3</v>
      </c>
      <c r="U13" s="23">
        <f>ROUND(IFERROR('1.1 Jakotaulu'!M$16*Ohj.lask.[[#This Row],[%-osuus 4]],0),0)</f>
        <v>109818</v>
      </c>
      <c r="V13" s="81">
        <f>IFERROR(ROUND(VLOOKUP($A13,'2.5 Päättäneet palaute'!$A:$AC,COLUMN('2.5 Päättäneet palaute'!AB:AB),FALSE),1),0)</f>
        <v>63144.2</v>
      </c>
      <c r="W13" s="20">
        <f>IFERROR(Ohj.lask.[[#This Row],[Painotetut pisteet 5]]/Ohj.lask.[[#Totals],[Painotetut pisteet 5]],0)</f>
        <v>7.324103983203145E-3</v>
      </c>
      <c r="X13" s="17">
        <f>ROUND(IFERROR('1.1 Jakotaulu'!M$17*Ohj.lask.[[#This Row],[%-osuus 5]],0),0)</f>
        <v>252120</v>
      </c>
      <c r="Y13" s="19">
        <f>IFERROR(Ohj.lask.[[#This Row],[Jaettava € 6]]/Ohj.lask.[[#Totals],[Jaettava € 6]],"")</f>
        <v>9.0399802008128069E-3</v>
      </c>
      <c r="Z13" s="23">
        <f>IFERROR(Ohj.lask.[[#This Row],[Jaettava € 1]]+Ohj.lask.[[#This Row],[Jaettava € 2]]+Ohj.lask.[[#This Row],[Jaettava € 3]]+Ohj.lask.[[#This Row],[Jaettava € 4]]+Ohj.lask.[[#This Row],[Jaettava € 5]],"")</f>
        <v>16364570</v>
      </c>
      <c r="AA13" s="17">
        <v>0</v>
      </c>
      <c r="AB13" s="17">
        <v>0</v>
      </c>
      <c r="AC13" s="18">
        <v>0</v>
      </c>
      <c r="AD13" s="17">
        <v>0</v>
      </c>
      <c r="AE13" s="18">
        <v>0</v>
      </c>
      <c r="AF13" s="17">
        <v>0</v>
      </c>
      <c r="AG13" s="18">
        <v>55000</v>
      </c>
      <c r="AH13" s="17">
        <v>0</v>
      </c>
      <c r="AI13" s="18">
        <v>0</v>
      </c>
      <c r="AJ13" s="17">
        <v>0</v>
      </c>
      <c r="AK13" s="18">
        <v>0</v>
      </c>
      <c r="AL13" s="17">
        <v>0</v>
      </c>
      <c r="AM13" s="18">
        <v>0</v>
      </c>
      <c r="AN13" s="23">
        <v>0</v>
      </c>
      <c r="AO13" s="17">
        <v>0</v>
      </c>
      <c r="AP13" s="17">
        <v>0</v>
      </c>
      <c r="AQ13" s="18">
        <f>IFERROR(VLOOKUP(Ohj.lask.[[#This Row],[Y-tunnus]],#REF!,COLUMN(#REF!),FALSE),0)</f>
        <v>0</v>
      </c>
      <c r="AR13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3" s="17">
        <f>Ohj.lask.[[#This Row],[Jaettava € 1]]+Ohj.lask.[[#This Row],[Päätös, € 9]]</f>
        <v>11290704</v>
      </c>
      <c r="AT13" s="113">
        <f>Ohj.lask.[[#This Row],[Jaettava € 2]]</f>
        <v>3362482</v>
      </c>
      <c r="AU13" s="17">
        <f>Ohj.lask.[[#This Row],[Jaettava € 3]]+Ohj.lask.[[#This Row],[Jaettava € 4]]+Ohj.lask.[[#This Row],[Jaettava € 5]]</f>
        <v>1711384</v>
      </c>
      <c r="AV13" s="42">
        <f>Ohj.lask.[[#This Row],[Jaettava € 6]]+Ohj.lask.[[#This Row],[Päätös, € 9]]</f>
        <v>16364570</v>
      </c>
      <c r="AW13" s="42">
        <v>423343</v>
      </c>
      <c r="AX13" s="23">
        <f>Ohj.lask.[[#This Row],[Perus-, suoritus- ja vaikuttavuusrahoitus yhteensä, €]]+Ohj.lask.[[#This Row],[Alv-korvaus, €]]</f>
        <v>16787913</v>
      </c>
    </row>
    <row r="14" spans="1:50" ht="12.75" x14ac:dyDescent="0.2">
      <c r="A14" s="134" t="s">
        <v>217</v>
      </c>
      <c r="B14" s="14" t="s">
        <v>199</v>
      </c>
      <c r="C14" s="14" t="s">
        <v>216</v>
      </c>
      <c r="D14" s="14" t="s">
        <v>392</v>
      </c>
      <c r="E14" s="14" t="s">
        <v>440</v>
      </c>
      <c r="F14" s="117">
        <v>2494</v>
      </c>
      <c r="G14" s="124">
        <f>Ohj.lask.[[#This Row],[Tavoitteelliset opiskelija-vuodet]]-Ohj.lask.[[#This Row],[Järjestämisluvan opisk.vuosien vähimmäismäärä]]</f>
        <v>590</v>
      </c>
      <c r="H14" s="41">
        <v>3084</v>
      </c>
      <c r="I14" s="15">
        <f>IFERROR(VLOOKUP($A14,'2.1 Toteut. op.vuodet'!$A:$T,COLUMN('2.1 Toteut. op.vuodet'!T:T),FALSE),0)</f>
        <v>0.92545047054056606</v>
      </c>
      <c r="J14" s="81">
        <f t="shared" si="0"/>
        <v>2854.1</v>
      </c>
      <c r="K14" s="16">
        <f>IFERROR(Ohj.lask.[[#This Row],[Painotetut opiskelija-vuodet]]/Ohj.lask.[[#Totals],[Painotetut opiskelija-vuodet]],0)</f>
        <v>1.3937995186823154E-2</v>
      </c>
      <c r="L14" s="17">
        <f>ROUND(IFERROR('1.1 Jakotaulu'!L$11*Ohj.lask.[[#This Row],[%-osuus 1]],0),0)</f>
        <v>17554501</v>
      </c>
      <c r="M14" s="186">
        <f>IFERROR(ROUND(VLOOKUP($A14,'2.2 Tutk. ja osien pain. pist.'!$A:$Q,COLUMN('2.2 Tutk. ja osien pain. pist.'!P:P),FALSE),1),0)</f>
        <v>253523.5</v>
      </c>
      <c r="N14" s="16">
        <f>IFERROR(Ohj.lask.[[#This Row],[Painotetut pisteet 2]]/Ohj.lask.[[#Totals],[Painotetut pisteet 2]],0)</f>
        <v>1.6275209583762891E-2</v>
      </c>
      <c r="O14" s="23">
        <f>ROUND(IFERROR('1.1 Jakotaulu'!K$12*Ohj.lask.[[#This Row],[%-osuus 2]],0),0)</f>
        <v>5975964</v>
      </c>
      <c r="P14" s="187">
        <f>IFERROR(ROUND(VLOOKUP($A14,'2.3 Työll. ja jatko-opisk.'!$A:$K,COLUMN('2.3 Työll. ja jatko-opisk.'!I:I),FALSE),1),0)</f>
        <v>3240.7</v>
      </c>
      <c r="Q14" s="16">
        <f>IFERROR(Ohj.lask.[[#This Row],[Painotetut pisteet 3]]/Ohj.lask.[[#Totals],[Painotetut pisteet 3]],0)</f>
        <v>1.6283050844902777E-2</v>
      </c>
      <c r="R14" s="17">
        <f>ROUND(IFERROR('1.1 Jakotaulu'!L$14*Ohj.lask.[[#This Row],[%-osuus 3]],0),0)</f>
        <v>2242066</v>
      </c>
      <c r="S14" s="186">
        <f>IFERROR(ROUND(VLOOKUP($A14,'2.4 Aloittaneet palaute'!$A:$K,COLUMN('2.4 Aloittaneet palaute'!J:J),FALSE),1),0)</f>
        <v>44031.3</v>
      </c>
      <c r="T14" s="20">
        <f>IFERROR(Ohj.lask.[[#This Row],[Painotetut pisteet 4]]/Ohj.lask.[[#Totals],[Painotetut pisteet 4]],0)</f>
        <v>2.6749600332188268E-2</v>
      </c>
      <c r="U14" s="23">
        <f>ROUND(IFERROR('1.1 Jakotaulu'!M$16*Ohj.lask.[[#This Row],[%-osuus 4]],0),0)</f>
        <v>306937</v>
      </c>
      <c r="V14" s="81">
        <f>IFERROR(ROUND(VLOOKUP($A14,'2.5 Päättäneet palaute'!$A:$AC,COLUMN('2.5 Päättäneet palaute'!AB:AB),FALSE),1),0)</f>
        <v>200707</v>
      </c>
      <c r="W14" s="20">
        <f>IFERROR(Ohj.lask.[[#This Row],[Painotetut pisteet 5]]/Ohj.lask.[[#Totals],[Painotetut pisteet 5]],0)</f>
        <v>2.3280031074219859E-2</v>
      </c>
      <c r="X14" s="17">
        <f>ROUND(IFERROR('1.1 Jakotaulu'!M$17*Ohj.lask.[[#This Row],[%-osuus 5]],0),0)</f>
        <v>801376</v>
      </c>
      <c r="Y14" s="19">
        <f>IFERROR(Ohj.lask.[[#This Row],[Jaettava € 6]]/Ohj.lask.[[#Totals],[Jaettava € 6]],"")</f>
        <v>1.4849293170620293E-2</v>
      </c>
      <c r="Z14" s="23">
        <f>IFERROR(Ohj.lask.[[#This Row],[Jaettava € 1]]+Ohj.lask.[[#This Row],[Jaettava € 2]]+Ohj.lask.[[#This Row],[Jaettava € 3]]+Ohj.lask.[[#This Row],[Jaettava € 4]]+Ohj.lask.[[#This Row],[Jaettava € 5]],"")</f>
        <v>26880844</v>
      </c>
      <c r="AA14" s="17">
        <v>0</v>
      </c>
      <c r="AB14" s="17">
        <v>0</v>
      </c>
      <c r="AC14" s="18">
        <v>0</v>
      </c>
      <c r="AD14" s="17">
        <v>0</v>
      </c>
      <c r="AE14" s="18">
        <v>0</v>
      </c>
      <c r="AF14" s="17">
        <v>0</v>
      </c>
      <c r="AG14" s="18">
        <v>0</v>
      </c>
      <c r="AH14" s="17">
        <v>0</v>
      </c>
      <c r="AI14" s="18">
        <v>0</v>
      </c>
      <c r="AJ14" s="17">
        <v>0</v>
      </c>
      <c r="AK14" s="18">
        <v>0</v>
      </c>
      <c r="AL14" s="17">
        <v>0</v>
      </c>
      <c r="AM14" s="18">
        <v>0</v>
      </c>
      <c r="AN14" s="23">
        <v>0</v>
      </c>
      <c r="AO14" s="17">
        <v>0</v>
      </c>
      <c r="AP14" s="17">
        <v>0</v>
      </c>
      <c r="AQ14" s="18">
        <f>IFERROR(VLOOKUP(Ohj.lask.[[#This Row],[Y-tunnus]],#REF!,COLUMN(#REF!),FALSE),0)</f>
        <v>0</v>
      </c>
      <c r="AR14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4" s="17">
        <f>Ohj.lask.[[#This Row],[Jaettava € 1]]+Ohj.lask.[[#This Row],[Päätös, € 9]]</f>
        <v>17554501</v>
      </c>
      <c r="AT14" s="113">
        <f>Ohj.lask.[[#This Row],[Jaettava € 2]]</f>
        <v>5975964</v>
      </c>
      <c r="AU14" s="17">
        <f>Ohj.lask.[[#This Row],[Jaettava € 3]]+Ohj.lask.[[#This Row],[Jaettava € 4]]+Ohj.lask.[[#This Row],[Jaettava € 5]]</f>
        <v>3350379</v>
      </c>
      <c r="AV14" s="42">
        <f>Ohj.lask.[[#This Row],[Jaettava € 6]]+Ohj.lask.[[#This Row],[Päätös, € 9]]</f>
        <v>26880844</v>
      </c>
      <c r="AW14" s="42">
        <v>1989051</v>
      </c>
      <c r="AX14" s="23">
        <f>Ohj.lask.[[#This Row],[Perus-, suoritus- ja vaikuttavuusrahoitus yhteensä, €]]+Ohj.lask.[[#This Row],[Alv-korvaus, €]]</f>
        <v>28869895</v>
      </c>
    </row>
    <row r="15" spans="1:50" ht="12.75" x14ac:dyDescent="0.2">
      <c r="A15" s="134" t="s">
        <v>379</v>
      </c>
      <c r="B15" s="14" t="s">
        <v>24</v>
      </c>
      <c r="C15" s="14" t="s">
        <v>216</v>
      </c>
      <c r="D15" s="14" t="s">
        <v>392</v>
      </c>
      <c r="E15" s="14" t="s">
        <v>438</v>
      </c>
      <c r="F15" s="117">
        <v>0</v>
      </c>
      <c r="G15" s="124">
        <f>Ohj.lask.[[#This Row],[Tavoitteelliset opiskelija-vuodet]]-Ohj.lask.[[#This Row],[Järjestämisluvan opisk.vuosien vähimmäismäärä]]</f>
        <v>5</v>
      </c>
      <c r="H15" s="41">
        <v>5</v>
      </c>
      <c r="I15" s="15">
        <f>IFERROR(VLOOKUP($A15,'2.1 Toteut. op.vuodet'!$A:$T,COLUMN('2.1 Toteut. op.vuodet'!T:T),FALSE),0)</f>
        <v>0.67375000000000118</v>
      </c>
      <c r="J15" s="81">
        <f t="shared" si="0"/>
        <v>3.4</v>
      </c>
      <c r="K15" s="16">
        <f>IFERROR(Ohj.lask.[[#This Row],[Painotetut opiskelija-vuodet]]/Ohj.lask.[[#Totals],[Painotetut opiskelija-vuodet]],0)</f>
        <v>1.6603897423075129E-5</v>
      </c>
      <c r="L15" s="17">
        <f>ROUND(IFERROR('1.1 Jakotaulu'!L$11*Ohj.lask.[[#This Row],[%-osuus 1]],0),0)</f>
        <v>20912</v>
      </c>
      <c r="M15" s="186">
        <f>IFERROR(ROUND(VLOOKUP($A15,'2.2 Tutk. ja osien pain. pist.'!$A:$Q,COLUMN('2.2 Tutk. ja osien pain. pist.'!P:P),FALSE),1),0)</f>
        <v>848.2</v>
      </c>
      <c r="N15" s="16">
        <f>IFERROR(Ohj.lask.[[#This Row],[Painotetut pisteet 2]]/Ohj.lask.[[#Totals],[Painotetut pisteet 2]],0)</f>
        <v>5.4451097310299376E-5</v>
      </c>
      <c r="O15" s="23">
        <f>ROUND(IFERROR('1.1 Jakotaulu'!K$12*Ohj.lask.[[#This Row],[%-osuus 2]],0),0)</f>
        <v>19993</v>
      </c>
      <c r="P15" s="187">
        <f>IFERROR(ROUND(VLOOKUP($A15,'2.3 Työll. ja jatko-opisk.'!$A:$K,COLUMN('2.3 Työll. ja jatko-opisk.'!I:I),FALSE),1),0)</f>
        <v>0</v>
      </c>
      <c r="Q15" s="16">
        <f>IFERROR(Ohj.lask.[[#This Row],[Painotetut pisteet 3]]/Ohj.lask.[[#Totals],[Painotetut pisteet 3]],0)</f>
        <v>0</v>
      </c>
      <c r="R15" s="17">
        <f>ROUND(IFERROR('1.1 Jakotaulu'!L$14*Ohj.lask.[[#This Row],[%-osuus 3]],0),0)</f>
        <v>0</v>
      </c>
      <c r="S15" s="186">
        <f>IFERROR(ROUND(VLOOKUP($A15,'2.4 Aloittaneet palaute'!$A:$K,COLUMN('2.4 Aloittaneet palaute'!J:J),FALSE),1),0)</f>
        <v>0</v>
      </c>
      <c r="T15" s="20">
        <f>IFERROR(Ohj.lask.[[#This Row],[Painotetut pisteet 4]]/Ohj.lask.[[#Totals],[Painotetut pisteet 4]],0)</f>
        <v>0</v>
      </c>
      <c r="U15" s="23">
        <f>ROUND(IFERROR('1.1 Jakotaulu'!M$16*Ohj.lask.[[#This Row],[%-osuus 4]],0),0)</f>
        <v>0</v>
      </c>
      <c r="V15" s="81">
        <f>IFERROR(ROUND(VLOOKUP($A15,'2.5 Päättäneet palaute'!$A:$AC,COLUMN('2.5 Päättäneet palaute'!AB:AB),FALSE),1),0)</f>
        <v>2898</v>
      </c>
      <c r="W15" s="20">
        <f>IFERROR(Ohj.lask.[[#This Row],[Painotetut pisteet 5]]/Ohj.lask.[[#Totals],[Painotetut pisteet 5]],0)</f>
        <v>3.3613939749529986E-4</v>
      </c>
      <c r="X15" s="17">
        <f>ROUND(IFERROR('1.1 Jakotaulu'!M$17*Ohj.lask.[[#This Row],[%-osuus 5]],0),0)</f>
        <v>11571</v>
      </c>
      <c r="Y15" s="19">
        <f>IFERROR(Ohj.lask.[[#This Row],[Jaettava € 6]]/Ohj.lask.[[#Totals],[Jaettava € 6]],"")</f>
        <v>2.8988357226487029E-5</v>
      </c>
      <c r="Z15" s="23">
        <f>IFERROR(Ohj.lask.[[#This Row],[Jaettava € 1]]+Ohj.lask.[[#This Row],[Jaettava € 2]]+Ohj.lask.[[#This Row],[Jaettava € 3]]+Ohj.lask.[[#This Row],[Jaettava € 4]]+Ohj.lask.[[#This Row],[Jaettava € 5]],"")</f>
        <v>52476</v>
      </c>
      <c r="AA15" s="17">
        <v>0</v>
      </c>
      <c r="AB15" s="17">
        <v>0</v>
      </c>
      <c r="AC15" s="18">
        <v>0</v>
      </c>
      <c r="AD15" s="17">
        <v>0</v>
      </c>
      <c r="AE15" s="18">
        <v>0</v>
      </c>
      <c r="AF15" s="17">
        <v>0</v>
      </c>
      <c r="AG15" s="18">
        <v>0</v>
      </c>
      <c r="AH15" s="17">
        <v>0</v>
      </c>
      <c r="AI15" s="18">
        <v>0</v>
      </c>
      <c r="AJ15" s="17">
        <v>0</v>
      </c>
      <c r="AK15" s="18">
        <v>0</v>
      </c>
      <c r="AL15" s="17">
        <v>0</v>
      </c>
      <c r="AM15" s="18">
        <v>0</v>
      </c>
      <c r="AN15" s="23">
        <v>0</v>
      </c>
      <c r="AO15" s="17">
        <v>0</v>
      </c>
      <c r="AP15" s="17">
        <v>0</v>
      </c>
      <c r="AQ15" s="18">
        <f>IFERROR(VLOOKUP(Ohj.lask.[[#This Row],[Y-tunnus]],#REF!,COLUMN(#REF!),FALSE),0)</f>
        <v>0</v>
      </c>
      <c r="AR15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5" s="17">
        <f>Ohj.lask.[[#This Row],[Jaettava € 1]]+Ohj.lask.[[#This Row],[Päätös, € 9]]</f>
        <v>20912</v>
      </c>
      <c r="AT15" s="113">
        <f>Ohj.lask.[[#This Row],[Jaettava € 2]]</f>
        <v>19993</v>
      </c>
      <c r="AU15" s="17">
        <f>Ohj.lask.[[#This Row],[Jaettava € 3]]+Ohj.lask.[[#This Row],[Jaettava € 4]]+Ohj.lask.[[#This Row],[Jaettava € 5]]</f>
        <v>11571</v>
      </c>
      <c r="AV15" s="42">
        <f>Ohj.lask.[[#This Row],[Jaettava € 6]]+Ohj.lask.[[#This Row],[Päätös, € 9]]</f>
        <v>52476</v>
      </c>
      <c r="AW15" s="42">
        <v>0</v>
      </c>
      <c r="AX15" s="23">
        <f>Ohj.lask.[[#This Row],[Perus-, suoritus- ja vaikuttavuusrahoitus yhteensä, €]]+Ohj.lask.[[#This Row],[Alv-korvaus, €]]</f>
        <v>52476</v>
      </c>
    </row>
    <row r="16" spans="1:50" ht="12.75" x14ac:dyDescent="0.2">
      <c r="A16" s="134" t="s">
        <v>378</v>
      </c>
      <c r="B16" s="14" t="s">
        <v>25</v>
      </c>
      <c r="C16" s="14" t="s">
        <v>216</v>
      </c>
      <c r="D16" s="14" t="s">
        <v>391</v>
      </c>
      <c r="E16" s="14" t="s">
        <v>438</v>
      </c>
      <c r="F16" s="117">
        <v>5838</v>
      </c>
      <c r="G16" s="124">
        <f>Ohj.lask.[[#This Row],[Tavoitteelliset opiskelija-vuodet]]-Ohj.lask.[[#This Row],[Järjestämisluvan opisk.vuosien vähimmäismäärä]]</f>
        <v>951</v>
      </c>
      <c r="H16" s="41">
        <v>6789</v>
      </c>
      <c r="I16" s="15">
        <f>IFERROR(VLOOKUP($A16,'2.1 Toteut. op.vuodet'!$A:$T,COLUMN('2.1 Toteut. op.vuodet'!T:T),FALSE),0)</f>
        <v>0.97830259976412659</v>
      </c>
      <c r="J16" s="81">
        <f t="shared" si="0"/>
        <v>6641.7</v>
      </c>
      <c r="K16" s="16">
        <f>IFERROR(Ohj.lask.[[#This Row],[Painotetut opiskelija-vuodet]]/Ohj.lask.[[#Totals],[Painotetut opiskelija-vuodet]],0)</f>
        <v>3.2434736916128845E-2</v>
      </c>
      <c r="L16" s="17">
        <f>ROUND(IFERROR('1.1 Jakotaulu'!L$11*Ohj.lask.[[#This Row],[%-osuus 1]],0),0)</f>
        <v>40850611</v>
      </c>
      <c r="M16" s="186">
        <f>IFERROR(ROUND(VLOOKUP($A16,'2.2 Tutk. ja osien pain. pist.'!$A:$Q,COLUMN('2.2 Tutk. ja osien pain. pist.'!P:P),FALSE),1),0)</f>
        <v>501673.8</v>
      </c>
      <c r="N16" s="16">
        <f>IFERROR(Ohj.lask.[[#This Row],[Painotetut pisteet 2]]/Ohj.lask.[[#Totals],[Painotetut pisteet 2]],0)</f>
        <v>3.2205480902885719E-2</v>
      </c>
      <c r="O16" s="23">
        <f>ROUND(IFERROR('1.1 Jakotaulu'!K$12*Ohj.lask.[[#This Row],[%-osuus 2]],0),0)</f>
        <v>11825273</v>
      </c>
      <c r="P16" s="187">
        <f>IFERROR(ROUND(VLOOKUP($A16,'2.3 Työll. ja jatko-opisk.'!$A:$K,COLUMN('2.3 Työll. ja jatko-opisk.'!I:I),FALSE),1),0)</f>
        <v>8364.1</v>
      </c>
      <c r="Q16" s="16">
        <f>IFERROR(Ohj.lask.[[#This Row],[Painotetut pisteet 3]]/Ohj.lask.[[#Totals],[Painotetut pisteet 3]],0)</f>
        <v>4.2025817129586612E-2</v>
      </c>
      <c r="R16" s="17">
        <f>ROUND(IFERROR('1.1 Jakotaulu'!L$14*Ohj.lask.[[#This Row],[%-osuus 3]],0),0)</f>
        <v>5786671</v>
      </c>
      <c r="S16" s="186">
        <f>IFERROR(ROUND(VLOOKUP($A16,'2.4 Aloittaneet palaute'!$A:$K,COLUMN('2.4 Aloittaneet palaute'!J:J),FALSE),1),0)</f>
        <v>47010.6</v>
      </c>
      <c r="T16" s="20">
        <f>IFERROR(Ohj.lask.[[#This Row],[Painotetut pisteet 4]]/Ohj.lask.[[#Totals],[Painotetut pisteet 4]],0)</f>
        <v>2.8559564704570835E-2</v>
      </c>
      <c r="U16" s="23">
        <f>ROUND(IFERROR('1.1 Jakotaulu'!M$16*Ohj.lask.[[#This Row],[%-osuus 4]],0),0)</f>
        <v>327705</v>
      </c>
      <c r="V16" s="81">
        <f>IFERROR(ROUND(VLOOKUP($A16,'2.5 Päättäneet palaute'!$A:$AC,COLUMN('2.5 Päättäneet palaute'!AB:AB),FALSE),1),0)</f>
        <v>115888.2</v>
      </c>
      <c r="W16" s="20">
        <f>IFERROR(Ohj.lask.[[#This Row],[Painotetut pisteet 5]]/Ohj.lask.[[#Totals],[Painotetut pisteet 5]],0)</f>
        <v>1.3441887413669707E-2</v>
      </c>
      <c r="X16" s="17">
        <f>ROUND(IFERROR('1.1 Jakotaulu'!M$17*Ohj.lask.[[#This Row],[%-osuus 5]],0),0)</f>
        <v>462714</v>
      </c>
      <c r="Y16" s="19">
        <f>IFERROR(Ohj.lask.[[#This Row],[Jaettava € 6]]/Ohj.lask.[[#Totals],[Jaettava € 6]],"")</f>
        <v>3.2732037065396527E-2</v>
      </c>
      <c r="Z16" s="23">
        <f>IFERROR(Ohj.lask.[[#This Row],[Jaettava € 1]]+Ohj.lask.[[#This Row],[Jaettava € 2]]+Ohj.lask.[[#This Row],[Jaettava € 3]]+Ohj.lask.[[#This Row],[Jaettava € 4]]+Ohj.lask.[[#This Row],[Jaettava € 5]],"")</f>
        <v>59252974</v>
      </c>
      <c r="AA16" s="17">
        <v>0</v>
      </c>
      <c r="AB16" s="17">
        <v>0</v>
      </c>
      <c r="AC16" s="18">
        <v>0</v>
      </c>
      <c r="AD16" s="17">
        <v>0</v>
      </c>
      <c r="AE16" s="18">
        <v>0</v>
      </c>
      <c r="AF16" s="17">
        <v>0</v>
      </c>
      <c r="AG16" s="18">
        <v>150000</v>
      </c>
      <c r="AH16" s="17">
        <v>0</v>
      </c>
      <c r="AI16" s="18">
        <v>0</v>
      </c>
      <c r="AJ16" s="17">
        <v>0</v>
      </c>
      <c r="AK16" s="18">
        <v>0</v>
      </c>
      <c r="AL16" s="17">
        <v>0</v>
      </c>
      <c r="AM16" s="18">
        <v>0</v>
      </c>
      <c r="AN16" s="23">
        <v>0</v>
      </c>
      <c r="AO16" s="17">
        <v>105000</v>
      </c>
      <c r="AP16" s="17">
        <v>37000</v>
      </c>
      <c r="AQ16" s="18">
        <f>IFERROR(VLOOKUP(Ohj.lask.[[#This Row],[Y-tunnus]],#REF!,COLUMN(#REF!),FALSE),0)</f>
        <v>0</v>
      </c>
      <c r="AR16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37000</v>
      </c>
      <c r="AS16" s="17">
        <f>Ohj.lask.[[#This Row],[Jaettava € 1]]+Ohj.lask.[[#This Row],[Päätös, € 9]]</f>
        <v>40887611</v>
      </c>
      <c r="AT16" s="113">
        <f>Ohj.lask.[[#This Row],[Jaettava € 2]]</f>
        <v>11825273</v>
      </c>
      <c r="AU16" s="17">
        <f>Ohj.lask.[[#This Row],[Jaettava € 3]]+Ohj.lask.[[#This Row],[Jaettava € 4]]+Ohj.lask.[[#This Row],[Jaettava € 5]]</f>
        <v>6577090</v>
      </c>
      <c r="AV16" s="42">
        <f>Ohj.lask.[[#This Row],[Jaettava € 6]]+Ohj.lask.[[#This Row],[Päätös, € 9]]</f>
        <v>59289974</v>
      </c>
      <c r="AW16" s="42">
        <v>0</v>
      </c>
      <c r="AX16" s="23">
        <f>Ohj.lask.[[#This Row],[Perus-, suoritus- ja vaikuttavuusrahoitus yhteensä, €]]+Ohj.lask.[[#This Row],[Alv-korvaus, €]]</f>
        <v>59289974</v>
      </c>
    </row>
    <row r="17" spans="1:50" ht="12.75" x14ac:dyDescent="0.2">
      <c r="A17" s="134" t="s">
        <v>377</v>
      </c>
      <c r="B17" s="14" t="s">
        <v>26</v>
      </c>
      <c r="C17" s="107" t="s">
        <v>376</v>
      </c>
      <c r="D17" s="107" t="s">
        <v>391</v>
      </c>
      <c r="E17" s="107" t="s">
        <v>438</v>
      </c>
      <c r="F17" s="116">
        <v>2885</v>
      </c>
      <c r="G17" s="124">
        <f>Ohj.lask.[[#This Row],[Tavoitteelliset opiskelija-vuodet]]-Ohj.lask.[[#This Row],[Järjestämisluvan opisk.vuosien vähimmäismäärä]]</f>
        <v>135</v>
      </c>
      <c r="H17" s="41">
        <v>3020</v>
      </c>
      <c r="I17" s="15">
        <f>IFERROR(VLOOKUP($A17,'2.1 Toteut. op.vuodet'!$A:$T,COLUMN('2.1 Toteut. op.vuodet'!T:T),FALSE),0)</f>
        <v>1.0362194456651845</v>
      </c>
      <c r="J17" s="81">
        <f t="shared" si="0"/>
        <v>3129.4</v>
      </c>
      <c r="K17" s="16">
        <f>IFERROR(Ohj.lask.[[#This Row],[Painotetut opiskelija-vuodet]]/Ohj.lask.[[#Totals],[Painotetut opiskelija-vuodet]],0)</f>
        <v>1.5282422528168032E-2</v>
      </c>
      <c r="L17" s="17">
        <f>ROUND(IFERROR('1.1 Jakotaulu'!L$11*Ohj.lask.[[#This Row],[%-osuus 1]],0),0)</f>
        <v>19247768</v>
      </c>
      <c r="M17" s="186">
        <f>IFERROR(ROUND(VLOOKUP($A17,'2.2 Tutk. ja osien pain. pist.'!$A:$Q,COLUMN('2.2 Tutk. ja osien pain. pist.'!P:P),FALSE),1),0)</f>
        <v>254789.3</v>
      </c>
      <c r="N17" s="16">
        <f>IFERROR(Ohj.lask.[[#This Row],[Painotetut pisteet 2]]/Ohj.lask.[[#Totals],[Painotetut pisteet 2]],0)</f>
        <v>1.635646895534433E-2</v>
      </c>
      <c r="O17" s="23">
        <f>ROUND(IFERROR('1.1 Jakotaulu'!K$12*Ohj.lask.[[#This Row],[%-osuus 2]],0),0)</f>
        <v>6005801</v>
      </c>
      <c r="P17" s="187">
        <f>IFERROR(ROUND(VLOOKUP($A17,'2.3 Työll. ja jatko-opisk.'!$A:$K,COLUMN('2.3 Työll. ja jatko-opisk.'!I:I),FALSE),1),0)</f>
        <v>3343.5</v>
      </c>
      <c r="Q17" s="20">
        <f>IFERROR(Ohj.lask.[[#This Row],[Painotetut pisteet 3]]/Ohj.lask.[[#Totals],[Painotetut pisteet 3]],0)</f>
        <v>1.6799574320342035E-2</v>
      </c>
      <c r="R17" s="17">
        <f>ROUND(IFERROR('1.1 Jakotaulu'!L$14*Ohj.lask.[[#This Row],[%-osuus 3]],0),0)</f>
        <v>2313188</v>
      </c>
      <c r="S17" s="186">
        <f>IFERROR(ROUND(VLOOKUP($A17,'2.4 Aloittaneet palaute'!$A:$K,COLUMN('2.4 Aloittaneet palaute'!J:J),FALSE),1),0)</f>
        <v>25323.7</v>
      </c>
      <c r="T17" s="20">
        <f>IFERROR(Ohj.lask.[[#This Row],[Painotetut pisteet 4]]/Ohj.lask.[[#Totals],[Painotetut pisteet 4]],0)</f>
        <v>1.5384484535597088E-2</v>
      </c>
      <c r="U17" s="23">
        <f>ROUND(IFERROR('1.1 Jakotaulu'!M$16*Ohj.lask.[[#This Row],[%-osuus 4]],0),0)</f>
        <v>176528</v>
      </c>
      <c r="V17" s="81">
        <f>IFERROR(ROUND(VLOOKUP($A17,'2.5 Päättäneet palaute'!$A:$AC,COLUMN('2.5 Päättäneet palaute'!AB:AB),FALSE),1),0)</f>
        <v>163311.79999999999</v>
      </c>
      <c r="W17" s="20">
        <f>IFERROR(Ohj.lask.[[#This Row],[Painotetut pisteet 5]]/Ohj.lask.[[#Totals],[Painotetut pisteet 5]],0)</f>
        <v>1.8942556955097622E-2</v>
      </c>
      <c r="X17" s="17">
        <f>ROUND(IFERROR('1.1 Jakotaulu'!M$17*Ohj.lask.[[#This Row],[%-osuus 5]],0),0)</f>
        <v>652066</v>
      </c>
      <c r="Y17" s="19">
        <f>IFERROR(Ohj.lask.[[#This Row],[Jaettava € 6]]/Ohj.lask.[[#Totals],[Jaettava € 6]],"")</f>
        <v>1.5685924581894307E-2</v>
      </c>
      <c r="Z17" s="23">
        <f>IFERROR(Ohj.lask.[[#This Row],[Jaettava € 1]]+Ohj.lask.[[#This Row],[Jaettava € 2]]+Ohj.lask.[[#This Row],[Jaettava € 3]]+Ohj.lask.[[#This Row],[Jaettava € 4]]+Ohj.lask.[[#This Row],[Jaettava € 5]],"")</f>
        <v>28395351</v>
      </c>
      <c r="AA17" s="17">
        <v>431200</v>
      </c>
      <c r="AB17" s="17">
        <v>0</v>
      </c>
      <c r="AC17" s="18">
        <v>0</v>
      </c>
      <c r="AD17" s="17">
        <v>0</v>
      </c>
      <c r="AE17" s="18">
        <v>0</v>
      </c>
      <c r="AF17" s="17">
        <v>0</v>
      </c>
      <c r="AG17" s="18">
        <v>120000</v>
      </c>
      <c r="AH17" s="17">
        <v>0</v>
      </c>
      <c r="AI17" s="18">
        <v>86100</v>
      </c>
      <c r="AJ17" s="17">
        <v>0</v>
      </c>
      <c r="AK17" s="18">
        <v>1700000</v>
      </c>
      <c r="AL17" s="17">
        <v>0</v>
      </c>
      <c r="AM17" s="18">
        <v>0</v>
      </c>
      <c r="AN17" s="23">
        <v>0</v>
      </c>
      <c r="AO17" s="17">
        <v>15000</v>
      </c>
      <c r="AP17" s="17">
        <v>0</v>
      </c>
      <c r="AQ17" s="18">
        <f>IFERROR(VLOOKUP(Ohj.lask.[[#This Row],[Y-tunnus]],#REF!,COLUMN(#REF!),FALSE),0)</f>
        <v>0</v>
      </c>
      <c r="AR17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7" s="17">
        <f>Ohj.lask.[[#This Row],[Jaettava € 1]]+Ohj.lask.[[#This Row],[Päätös, € 9]]</f>
        <v>19247768</v>
      </c>
      <c r="AT17" s="113">
        <f>Ohj.lask.[[#This Row],[Jaettava € 2]]</f>
        <v>6005801</v>
      </c>
      <c r="AU17" s="17">
        <f>Ohj.lask.[[#This Row],[Jaettava € 3]]+Ohj.lask.[[#This Row],[Jaettava € 4]]+Ohj.lask.[[#This Row],[Jaettava € 5]]</f>
        <v>3141782</v>
      </c>
      <c r="AV17" s="42">
        <f>Ohj.lask.[[#This Row],[Jaettava € 6]]+Ohj.lask.[[#This Row],[Päätös, € 9]]</f>
        <v>28395351</v>
      </c>
      <c r="AW17" s="42">
        <v>0</v>
      </c>
      <c r="AX17" s="23">
        <f>Ohj.lask.[[#This Row],[Perus-, suoritus- ja vaikuttavuusrahoitus yhteensä, €]]+Ohj.lask.[[#This Row],[Alv-korvaus, €]]</f>
        <v>28395351</v>
      </c>
    </row>
    <row r="18" spans="1:50" ht="12.75" x14ac:dyDescent="0.2">
      <c r="A18" s="134" t="s">
        <v>375</v>
      </c>
      <c r="B18" s="14" t="s">
        <v>27</v>
      </c>
      <c r="C18" s="107" t="s">
        <v>250</v>
      </c>
      <c r="D18" s="107" t="s">
        <v>392</v>
      </c>
      <c r="E18" s="107" t="s">
        <v>438</v>
      </c>
      <c r="F18" s="116">
        <v>2485</v>
      </c>
      <c r="G18" s="124">
        <f>Ohj.lask.[[#This Row],[Tavoitteelliset opiskelija-vuodet]]-Ohj.lask.[[#This Row],[Järjestämisluvan opisk.vuosien vähimmäismäärä]]</f>
        <v>115</v>
      </c>
      <c r="H18" s="41">
        <v>2600</v>
      </c>
      <c r="I18" s="15">
        <f>IFERROR(VLOOKUP($A18,'2.1 Toteut. op.vuodet'!$A:$T,COLUMN('2.1 Toteut. op.vuodet'!T:T),FALSE),0)</f>
        <v>1.1733024773643215</v>
      </c>
      <c r="J18" s="81">
        <f t="shared" si="0"/>
        <v>3050.6</v>
      </c>
      <c r="K18" s="16">
        <f>IFERROR(Ohj.lask.[[#This Row],[Painotetut opiskelija-vuodet]]/Ohj.lask.[[#Totals],[Painotetut opiskelija-vuodet]],0)</f>
        <v>1.4897602787892055E-2</v>
      </c>
      <c r="L18" s="17">
        <f>ROUND(IFERROR('1.1 Jakotaulu'!L$11*Ohj.lask.[[#This Row],[%-osuus 1]],0),0)</f>
        <v>18763099</v>
      </c>
      <c r="M18" s="186">
        <f>IFERROR(ROUND(VLOOKUP($A18,'2.2 Tutk. ja osien pain. pist.'!$A:$Q,COLUMN('2.2 Tutk. ja osien pain. pist.'!P:P),FALSE),1),0)</f>
        <v>234403.9</v>
      </c>
      <c r="N18" s="16">
        <f>IFERROR(Ohj.lask.[[#This Row],[Painotetut pisteet 2]]/Ohj.lask.[[#Totals],[Painotetut pisteet 2]],0)</f>
        <v>1.5047806612607503E-2</v>
      </c>
      <c r="O18" s="23">
        <f>ROUND(IFERROR('1.1 Jakotaulu'!K$12*Ohj.lask.[[#This Row],[%-osuus 2]],0),0)</f>
        <v>5525284</v>
      </c>
      <c r="P18" s="187">
        <f>IFERROR(ROUND(VLOOKUP($A18,'2.3 Työll. ja jatko-opisk.'!$A:$K,COLUMN('2.3 Työll. ja jatko-opisk.'!I:I),FALSE),1),0)</f>
        <v>3293.3</v>
      </c>
      <c r="Q18" s="20">
        <f>IFERROR(Ohj.lask.[[#This Row],[Painotetut pisteet 3]]/Ohj.lask.[[#Totals],[Painotetut pisteet 3]],0)</f>
        <v>1.654734203953415E-2</v>
      </c>
      <c r="R18" s="17">
        <f>ROUND(IFERROR('1.1 Jakotaulu'!L$14*Ohj.lask.[[#This Row],[%-osuus 3]],0),0)</f>
        <v>2278457</v>
      </c>
      <c r="S18" s="186">
        <f>IFERROR(ROUND(VLOOKUP($A18,'2.4 Aloittaneet palaute'!$A:$K,COLUMN('2.4 Aloittaneet palaute'!J:J),FALSE),1),0)</f>
        <v>22342.5</v>
      </c>
      <c r="T18" s="20">
        <f>IFERROR(Ohj.lask.[[#This Row],[Painotetut pisteet 4]]/Ohj.lask.[[#Totals],[Painotetut pisteet 4]],0)</f>
        <v>1.3573365887945993E-2</v>
      </c>
      <c r="U18" s="23">
        <f>ROUND(IFERROR('1.1 Jakotaulu'!M$16*Ohj.lask.[[#This Row],[%-osuus 4]],0),0)</f>
        <v>155747</v>
      </c>
      <c r="V18" s="81">
        <f>IFERROR(ROUND(VLOOKUP($A18,'2.5 Päättäneet palaute'!$A:$AC,COLUMN('2.5 Päättäneet palaute'!AB:AB),FALSE),1),0)</f>
        <v>117556.1</v>
      </c>
      <c r="W18" s="20">
        <f>IFERROR(Ohj.lask.[[#This Row],[Painotetut pisteet 5]]/Ohj.lask.[[#Totals],[Painotetut pisteet 5]],0)</f>
        <v>1.3635347351931408E-2</v>
      </c>
      <c r="X18" s="17">
        <f>ROUND(IFERROR('1.1 Jakotaulu'!M$17*Ohj.lask.[[#This Row],[%-osuus 5]],0),0)</f>
        <v>469374</v>
      </c>
      <c r="Y18" s="19">
        <f>IFERROR(Ohj.lask.[[#This Row],[Jaettava € 6]]/Ohj.lask.[[#Totals],[Jaettava € 6]],"")</f>
        <v>1.5021157846571832E-2</v>
      </c>
      <c r="Z18" s="23">
        <f>IFERROR(Ohj.lask.[[#This Row],[Jaettava € 1]]+Ohj.lask.[[#This Row],[Jaettava € 2]]+Ohj.lask.[[#This Row],[Jaettava € 3]]+Ohj.lask.[[#This Row],[Jaettava € 4]]+Ohj.lask.[[#This Row],[Jaettava € 5]],"")</f>
        <v>27191961</v>
      </c>
      <c r="AA18" s="17">
        <v>0</v>
      </c>
      <c r="AB18" s="17">
        <v>0</v>
      </c>
      <c r="AC18" s="18">
        <v>0</v>
      </c>
      <c r="AD18" s="17">
        <v>0</v>
      </c>
      <c r="AE18" s="18">
        <v>0</v>
      </c>
      <c r="AF18" s="17">
        <v>0</v>
      </c>
      <c r="AG18" s="18">
        <v>200000</v>
      </c>
      <c r="AH18" s="17">
        <v>0</v>
      </c>
      <c r="AI18" s="18">
        <v>0</v>
      </c>
      <c r="AJ18" s="17">
        <v>0</v>
      </c>
      <c r="AK18" s="18">
        <v>0</v>
      </c>
      <c r="AL18" s="17">
        <v>0</v>
      </c>
      <c r="AM18" s="18">
        <v>0</v>
      </c>
      <c r="AN18" s="23">
        <v>0</v>
      </c>
      <c r="AO18" s="17">
        <v>0</v>
      </c>
      <c r="AP18" s="17">
        <v>0</v>
      </c>
      <c r="AQ18" s="18">
        <f>IFERROR(VLOOKUP(Ohj.lask.[[#This Row],[Y-tunnus]],#REF!,COLUMN(#REF!),FALSE),0)</f>
        <v>0</v>
      </c>
      <c r="AR18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8" s="17">
        <f>Ohj.lask.[[#This Row],[Jaettava € 1]]+Ohj.lask.[[#This Row],[Päätös, € 9]]</f>
        <v>18763099</v>
      </c>
      <c r="AT18" s="113">
        <f>Ohj.lask.[[#This Row],[Jaettava € 2]]</f>
        <v>5525284</v>
      </c>
      <c r="AU18" s="17">
        <f>Ohj.lask.[[#This Row],[Jaettava € 3]]+Ohj.lask.[[#This Row],[Jaettava € 4]]+Ohj.lask.[[#This Row],[Jaettava € 5]]</f>
        <v>2903578</v>
      </c>
      <c r="AV18" s="42">
        <f>Ohj.lask.[[#This Row],[Jaettava € 6]]+Ohj.lask.[[#This Row],[Päätös, € 9]]</f>
        <v>27191961</v>
      </c>
      <c r="AW18" s="42">
        <v>1655717</v>
      </c>
      <c r="AX18" s="23">
        <f>Ohj.lask.[[#This Row],[Perus-, suoritus- ja vaikuttavuusrahoitus yhteensä, €]]+Ohj.lask.[[#This Row],[Alv-korvaus, €]]</f>
        <v>28847678</v>
      </c>
    </row>
    <row r="19" spans="1:50" ht="12.75" x14ac:dyDescent="0.2">
      <c r="A19" s="134" t="s">
        <v>374</v>
      </c>
      <c r="B19" s="14" t="s">
        <v>28</v>
      </c>
      <c r="C19" s="14" t="s">
        <v>265</v>
      </c>
      <c r="D19" s="14" t="s">
        <v>392</v>
      </c>
      <c r="E19" s="14" t="s">
        <v>438</v>
      </c>
      <c r="F19" s="117">
        <v>25</v>
      </c>
      <c r="G19" s="124">
        <f>Ohj.lask.[[#This Row],[Tavoitteelliset opiskelija-vuodet]]-Ohj.lask.[[#This Row],[Järjestämisluvan opisk.vuosien vähimmäismäärä]]</f>
        <v>12</v>
      </c>
      <c r="H19" s="41">
        <v>37</v>
      </c>
      <c r="I19" s="15">
        <f>IFERROR(VLOOKUP($A19,'2.1 Toteut. op.vuodet'!$A:$T,COLUMN('2.1 Toteut. op.vuodet'!T:T),FALSE),0)</f>
        <v>0.76900091789104297</v>
      </c>
      <c r="J19" s="81">
        <f t="shared" si="0"/>
        <v>28.5</v>
      </c>
      <c r="K19" s="16">
        <f>IFERROR(Ohj.lask.[[#This Row],[Painotetut opiskelija-vuodet]]/Ohj.lask.[[#Totals],[Painotetut opiskelija-vuodet]],0)</f>
        <v>1.3917972839930622E-4</v>
      </c>
      <c r="L19" s="17">
        <f>ROUND(IFERROR('1.1 Jakotaulu'!L$11*Ohj.lask.[[#This Row],[%-osuus 1]],0),0)</f>
        <v>175293</v>
      </c>
      <c r="M19" s="186">
        <f>IFERROR(ROUND(VLOOKUP($A19,'2.2 Tutk. ja osien pain. pist.'!$A:$Q,COLUMN('2.2 Tutk. ja osien pain. pist.'!P:P),FALSE),1),0)</f>
        <v>2398.6999999999998</v>
      </c>
      <c r="N19" s="16">
        <f>IFERROR(Ohj.lask.[[#This Row],[Painotetut pisteet 2]]/Ohj.lask.[[#Totals],[Painotetut pisteet 2]],0)</f>
        <v>1.5398708691135947E-4</v>
      </c>
      <c r="O19" s="23">
        <f>ROUND(IFERROR('1.1 Jakotaulu'!K$12*Ohj.lask.[[#This Row],[%-osuus 2]],0),0)</f>
        <v>56541</v>
      </c>
      <c r="P19" s="187">
        <f>IFERROR(ROUND(VLOOKUP($A19,'2.3 Työll. ja jatko-opisk.'!$A:$K,COLUMN('2.3 Työll. ja jatko-opisk.'!I:I),FALSE),1),0)</f>
        <v>51</v>
      </c>
      <c r="Q19" s="16">
        <f>IFERROR(Ohj.lask.[[#This Row],[Painotetut pisteet 3]]/Ohj.lask.[[#Totals],[Painotetut pisteet 3]],0)</f>
        <v>2.5625191874904856E-4</v>
      </c>
      <c r="R19" s="17">
        <f>ROUND(IFERROR('1.1 Jakotaulu'!L$14*Ohj.lask.[[#This Row],[%-osuus 3]],0),0)</f>
        <v>35284</v>
      </c>
      <c r="S19" s="186">
        <f>IFERROR(ROUND(VLOOKUP($A19,'2.4 Aloittaneet palaute'!$A:$K,COLUMN('2.4 Aloittaneet palaute'!J:J),FALSE),1),0)</f>
        <v>342.4</v>
      </c>
      <c r="T19" s="20">
        <f>IFERROR(Ohj.lask.[[#This Row],[Painotetut pisteet 4]]/Ohj.lask.[[#Totals],[Painotetut pisteet 4]],0)</f>
        <v>2.0801255365481515E-4</v>
      </c>
      <c r="U19" s="23">
        <f>ROUND(IFERROR('1.1 Jakotaulu'!M$16*Ohj.lask.[[#This Row],[%-osuus 4]],0),0)</f>
        <v>2387</v>
      </c>
      <c r="V19" s="81">
        <f>IFERROR(ROUND(VLOOKUP($A19,'2.5 Päättäneet palaute'!$A:$AC,COLUMN('2.5 Päättäneet palaute'!AB:AB),FALSE),1),0)</f>
        <v>360</v>
      </c>
      <c r="W19" s="20">
        <f>IFERROR(Ohj.lask.[[#This Row],[Painotetut pisteet 5]]/Ohj.lask.[[#Totals],[Painotetut pisteet 5]],0)</f>
        <v>4.1756446893826074E-5</v>
      </c>
      <c r="X19" s="17">
        <f>ROUND(IFERROR('1.1 Jakotaulu'!M$17*Ohj.lask.[[#This Row],[%-osuus 5]],0),0)</f>
        <v>1437</v>
      </c>
      <c r="Y19" s="19">
        <f>IFERROR(Ohj.lask.[[#This Row],[Jaettava € 6]]/Ohj.lask.[[#Totals],[Jaettava € 6]],"")</f>
        <v>1.4967153524771034E-4</v>
      </c>
      <c r="Z19" s="23">
        <f>IFERROR(Ohj.lask.[[#This Row],[Jaettava € 1]]+Ohj.lask.[[#This Row],[Jaettava € 2]]+Ohj.lask.[[#This Row],[Jaettava € 3]]+Ohj.lask.[[#This Row],[Jaettava € 4]]+Ohj.lask.[[#This Row],[Jaettava € 5]],"")</f>
        <v>270942</v>
      </c>
      <c r="AA19" s="17">
        <v>0</v>
      </c>
      <c r="AB19" s="17">
        <v>0</v>
      </c>
      <c r="AC19" s="18">
        <v>0</v>
      </c>
      <c r="AD19" s="17">
        <v>0</v>
      </c>
      <c r="AE19" s="18">
        <v>0</v>
      </c>
      <c r="AF19" s="17">
        <v>0</v>
      </c>
      <c r="AG19" s="18">
        <v>0</v>
      </c>
      <c r="AH19" s="17">
        <v>0</v>
      </c>
      <c r="AI19" s="18">
        <v>0</v>
      </c>
      <c r="AJ19" s="17">
        <v>0</v>
      </c>
      <c r="AK19" s="18">
        <v>0</v>
      </c>
      <c r="AL19" s="17">
        <v>0</v>
      </c>
      <c r="AM19" s="18">
        <v>0</v>
      </c>
      <c r="AN19" s="23">
        <v>0</v>
      </c>
      <c r="AO19" s="17">
        <v>0</v>
      </c>
      <c r="AP19" s="17">
        <v>0</v>
      </c>
      <c r="AQ19" s="18">
        <f>IFERROR(VLOOKUP(Ohj.lask.[[#This Row],[Y-tunnus]],#REF!,COLUMN(#REF!),FALSE),0)</f>
        <v>0</v>
      </c>
      <c r="AR19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9" s="17">
        <f>Ohj.lask.[[#This Row],[Jaettava € 1]]+Ohj.lask.[[#This Row],[Päätös, € 9]]</f>
        <v>175293</v>
      </c>
      <c r="AT19" s="113">
        <f>Ohj.lask.[[#This Row],[Jaettava € 2]]</f>
        <v>56541</v>
      </c>
      <c r="AU19" s="17">
        <f>Ohj.lask.[[#This Row],[Jaettava € 3]]+Ohj.lask.[[#This Row],[Jaettava € 4]]+Ohj.lask.[[#This Row],[Jaettava € 5]]</f>
        <v>39108</v>
      </c>
      <c r="AV19" s="42">
        <f>Ohj.lask.[[#This Row],[Jaettava € 6]]+Ohj.lask.[[#This Row],[Päätös, € 9]]</f>
        <v>270942</v>
      </c>
      <c r="AW19" s="42">
        <v>0</v>
      </c>
      <c r="AX19" s="23">
        <f>Ohj.lask.[[#This Row],[Perus-, suoritus- ja vaikuttavuusrahoitus yhteensä, €]]+Ohj.lask.[[#This Row],[Alv-korvaus, €]]</f>
        <v>270942</v>
      </c>
    </row>
    <row r="20" spans="1:50" ht="12.75" x14ac:dyDescent="0.2">
      <c r="A20" s="134" t="s">
        <v>373</v>
      </c>
      <c r="B20" s="14" t="s">
        <v>173</v>
      </c>
      <c r="C20" s="14" t="s">
        <v>216</v>
      </c>
      <c r="D20" s="14" t="s">
        <v>392</v>
      </c>
      <c r="E20" s="14" t="s">
        <v>438</v>
      </c>
      <c r="F20" s="117">
        <v>0</v>
      </c>
      <c r="G20" s="124">
        <f>Ohj.lask.[[#This Row],[Tavoitteelliset opiskelija-vuodet]]-Ohj.lask.[[#This Row],[Järjestämisluvan opisk.vuosien vähimmäismäärä]]</f>
        <v>39</v>
      </c>
      <c r="H20" s="41">
        <v>39</v>
      </c>
      <c r="I20" s="15">
        <f>IFERROR(VLOOKUP($A20,'2.1 Toteut. op.vuodet'!$A:$T,COLUMN('2.1 Toteut. op.vuodet'!T:T),FALSE),0)</f>
        <v>0.50513384492979974</v>
      </c>
      <c r="J20" s="81">
        <f t="shared" si="0"/>
        <v>19.7</v>
      </c>
      <c r="K20" s="16">
        <f>IFERROR(Ohj.lask.[[#This Row],[Painotetut opiskelija-vuodet]]/Ohj.lask.[[#Totals],[Painotetut opiskelija-vuodet]],0)</f>
        <v>9.620493506899412E-5</v>
      </c>
      <c r="L20" s="17">
        <f>ROUND(IFERROR('1.1 Jakotaulu'!L$11*Ohj.lask.[[#This Row],[%-osuus 1]],0),0)</f>
        <v>121167</v>
      </c>
      <c r="M20" s="186">
        <f>IFERROR(ROUND(VLOOKUP($A20,'2.2 Tutk. ja osien pain. pist.'!$A:$Q,COLUMN('2.2 Tutk. ja osien pain. pist.'!P:P),FALSE),1),0)</f>
        <v>0</v>
      </c>
      <c r="N20" s="16">
        <f>IFERROR(Ohj.lask.[[#This Row],[Painotetut pisteet 2]]/Ohj.lask.[[#Totals],[Painotetut pisteet 2]],0)</f>
        <v>0</v>
      </c>
      <c r="O20" s="23">
        <f>ROUND(IFERROR('1.1 Jakotaulu'!K$12*Ohj.lask.[[#This Row],[%-osuus 2]],0),0)</f>
        <v>0</v>
      </c>
      <c r="P20" s="187">
        <f>IFERROR(ROUND(VLOOKUP($A20,'2.3 Työll. ja jatko-opisk.'!$A:$K,COLUMN('2.3 Työll. ja jatko-opisk.'!I:I),FALSE),1),0)</f>
        <v>0</v>
      </c>
      <c r="Q20" s="16">
        <f>IFERROR(Ohj.lask.[[#This Row],[Painotetut pisteet 3]]/Ohj.lask.[[#Totals],[Painotetut pisteet 3]],0)</f>
        <v>0</v>
      </c>
      <c r="R20" s="17">
        <f>ROUND(IFERROR('1.1 Jakotaulu'!L$14*Ohj.lask.[[#This Row],[%-osuus 3]],0),0)</f>
        <v>0</v>
      </c>
      <c r="S20" s="186">
        <f>IFERROR(ROUND(VLOOKUP($A20,'2.4 Aloittaneet palaute'!$A:$K,COLUMN('2.4 Aloittaneet palaute'!J:J),FALSE),1),0)</f>
        <v>0</v>
      </c>
      <c r="T20" s="20">
        <f>IFERROR(Ohj.lask.[[#This Row],[Painotetut pisteet 4]]/Ohj.lask.[[#Totals],[Painotetut pisteet 4]],0)</f>
        <v>0</v>
      </c>
      <c r="U20" s="23">
        <f>ROUND(IFERROR('1.1 Jakotaulu'!M$16*Ohj.lask.[[#This Row],[%-osuus 4]],0),0)</f>
        <v>0</v>
      </c>
      <c r="V20" s="81">
        <f>IFERROR(ROUND(VLOOKUP($A20,'2.5 Päättäneet palaute'!$A:$AC,COLUMN('2.5 Päättäneet palaute'!AB:AB),FALSE),1),0)</f>
        <v>0</v>
      </c>
      <c r="W20" s="20">
        <f>IFERROR(Ohj.lask.[[#This Row],[Painotetut pisteet 5]]/Ohj.lask.[[#Totals],[Painotetut pisteet 5]],0)</f>
        <v>0</v>
      </c>
      <c r="X20" s="17">
        <f>ROUND(IFERROR('1.1 Jakotaulu'!M$17*Ohj.lask.[[#This Row],[%-osuus 5]],0),0)</f>
        <v>0</v>
      </c>
      <c r="Y20" s="19">
        <f>IFERROR(Ohj.lask.[[#This Row],[Jaettava € 6]]/Ohj.lask.[[#Totals],[Jaettava € 6]],"")</f>
        <v>6.6934070433374377E-5</v>
      </c>
      <c r="Z20" s="23">
        <f>IFERROR(Ohj.lask.[[#This Row],[Jaettava € 1]]+Ohj.lask.[[#This Row],[Jaettava € 2]]+Ohj.lask.[[#This Row],[Jaettava € 3]]+Ohj.lask.[[#This Row],[Jaettava € 4]]+Ohj.lask.[[#This Row],[Jaettava € 5]],"")</f>
        <v>121167</v>
      </c>
      <c r="AA20" s="17">
        <v>950000</v>
      </c>
      <c r="AB20" s="17">
        <v>330000</v>
      </c>
      <c r="AC20" s="18">
        <v>0</v>
      </c>
      <c r="AD20" s="17">
        <v>0</v>
      </c>
      <c r="AE20" s="18">
        <v>0</v>
      </c>
      <c r="AF20" s="17">
        <v>0</v>
      </c>
      <c r="AG20" s="18">
        <v>0</v>
      </c>
      <c r="AH20" s="17">
        <v>0</v>
      </c>
      <c r="AI20" s="18">
        <v>0</v>
      </c>
      <c r="AJ20" s="17">
        <v>0</v>
      </c>
      <c r="AK20" s="18">
        <v>0</v>
      </c>
      <c r="AL20" s="17">
        <v>0</v>
      </c>
      <c r="AM20" s="18">
        <v>0</v>
      </c>
      <c r="AN20" s="23">
        <v>0</v>
      </c>
      <c r="AO20" s="17">
        <v>0</v>
      </c>
      <c r="AP20" s="17">
        <v>0</v>
      </c>
      <c r="AQ20" s="18">
        <f>IFERROR(VLOOKUP(Ohj.lask.[[#This Row],[Y-tunnus]],#REF!,COLUMN(#REF!),FALSE),0)</f>
        <v>0</v>
      </c>
      <c r="AR20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330000</v>
      </c>
      <c r="AS20" s="17">
        <f>Ohj.lask.[[#This Row],[Jaettava € 1]]+Ohj.lask.[[#This Row],[Päätös, € 9]]</f>
        <v>451167</v>
      </c>
      <c r="AT20" s="113">
        <f>Ohj.lask.[[#This Row],[Jaettava € 2]]</f>
        <v>0</v>
      </c>
      <c r="AU20" s="17">
        <f>Ohj.lask.[[#This Row],[Jaettava € 3]]+Ohj.lask.[[#This Row],[Jaettava € 4]]+Ohj.lask.[[#This Row],[Jaettava € 5]]</f>
        <v>0</v>
      </c>
      <c r="AV20" s="42">
        <f>Ohj.lask.[[#This Row],[Jaettava € 6]]+Ohj.lask.[[#This Row],[Päätös, € 9]]</f>
        <v>451167</v>
      </c>
      <c r="AW20" s="42">
        <v>165048</v>
      </c>
      <c r="AX20" s="23">
        <f>Ohj.lask.[[#This Row],[Perus-, suoritus- ja vaikuttavuusrahoitus yhteensä, €]]+Ohj.lask.[[#This Row],[Alv-korvaus, €]]</f>
        <v>616215</v>
      </c>
    </row>
    <row r="21" spans="1:50" ht="12.75" x14ac:dyDescent="0.2">
      <c r="A21" s="134" t="s">
        <v>372</v>
      </c>
      <c r="B21" s="14" t="s">
        <v>29</v>
      </c>
      <c r="C21" s="107" t="s">
        <v>216</v>
      </c>
      <c r="D21" s="107" t="s">
        <v>392</v>
      </c>
      <c r="E21" s="107" t="s">
        <v>439</v>
      </c>
      <c r="F21" s="116">
        <v>106</v>
      </c>
      <c r="G21" s="124">
        <f>Ohj.lask.[[#This Row],[Tavoitteelliset opiskelija-vuodet]]-Ohj.lask.[[#This Row],[Järjestämisluvan opisk.vuosien vähimmäismäärä]]</f>
        <v>6</v>
      </c>
      <c r="H21" s="41">
        <v>112</v>
      </c>
      <c r="I21" s="15">
        <f>IFERROR(VLOOKUP($A21,'2.1 Toteut. op.vuodet'!$A:$T,COLUMN('2.1 Toteut. op.vuodet'!T:T),FALSE),0)</f>
        <v>1.6901097492758339</v>
      </c>
      <c r="J21" s="81">
        <f t="shared" si="0"/>
        <v>189.3</v>
      </c>
      <c r="K21" s="16">
        <f>IFERROR(Ohj.lask.[[#This Row],[Painotetut opiskelija-vuodet]]/Ohj.lask.[[#Totals],[Painotetut opiskelija-vuodet]],0)</f>
        <v>9.2444640652591828E-4</v>
      </c>
      <c r="L21" s="17">
        <f>ROUND(IFERROR('1.1 Jakotaulu'!L$11*Ohj.lask.[[#This Row],[%-osuus 1]],0),0)</f>
        <v>1164313</v>
      </c>
      <c r="M21" s="186">
        <f>IFERROR(ROUND(VLOOKUP($A21,'2.2 Tutk. ja osien pain. pist.'!$A:$Q,COLUMN('2.2 Tutk. ja osien pain. pist.'!P:P),FALSE),1),0)</f>
        <v>15565.3</v>
      </c>
      <c r="N21" s="16">
        <f>IFERROR(Ohj.lask.[[#This Row],[Painotetut pisteet 2]]/Ohj.lask.[[#Totals],[Painotetut pisteet 2]],0)</f>
        <v>9.9923091837302849E-4</v>
      </c>
      <c r="O21" s="23">
        <f>ROUND(IFERROR('1.1 Jakotaulu'!K$12*Ohj.lask.[[#This Row],[%-osuus 2]],0),0)</f>
        <v>366900</v>
      </c>
      <c r="P21" s="187">
        <f>IFERROR(ROUND(VLOOKUP($A21,'2.3 Työll. ja jatko-opisk.'!$A:$K,COLUMN('2.3 Työll. ja jatko-opisk.'!I:I),FALSE),1),0)</f>
        <v>164.6</v>
      </c>
      <c r="Q21" s="20">
        <f>IFERROR(Ohj.lask.[[#This Row],[Painotetut pisteet 3]]/Ohj.lask.[[#Totals],[Painotetut pisteet 3]],0)</f>
        <v>8.2704050639398807E-4</v>
      </c>
      <c r="R21" s="17">
        <f>ROUND(IFERROR('1.1 Jakotaulu'!L$14*Ohj.lask.[[#This Row],[%-osuus 3]],0),0)</f>
        <v>113878</v>
      </c>
      <c r="S21" s="186">
        <f>IFERROR(ROUND(VLOOKUP($A21,'2.4 Aloittaneet palaute'!$A:$K,COLUMN('2.4 Aloittaneet palaute'!J:J),FALSE),1),0)</f>
        <v>1153</v>
      </c>
      <c r="T21" s="20">
        <f>IFERROR(Ohj.lask.[[#This Row],[Painotetut pisteet 4]]/Ohj.lask.[[#Totals],[Painotetut pisteet 4]],0)</f>
        <v>7.0046283400701482E-4</v>
      </c>
      <c r="U21" s="23">
        <f>ROUND(IFERROR('1.1 Jakotaulu'!M$16*Ohj.lask.[[#This Row],[%-osuus 4]],0),0)</f>
        <v>8037</v>
      </c>
      <c r="V21" s="81">
        <f>IFERROR(ROUND(VLOOKUP($A21,'2.5 Päättäneet palaute'!$A:$AC,COLUMN('2.5 Päättäneet palaute'!AB:AB),FALSE),1),0)</f>
        <v>6420</v>
      </c>
      <c r="W21" s="20">
        <f>IFERROR(Ohj.lask.[[#This Row],[Painotetut pisteet 5]]/Ohj.lask.[[#Totals],[Painotetut pisteet 5]],0)</f>
        <v>7.4465663627323159E-4</v>
      </c>
      <c r="X21" s="17">
        <f>ROUND(IFERROR('1.1 Jakotaulu'!M$17*Ohj.lask.[[#This Row],[%-osuus 5]],0),0)</f>
        <v>25634</v>
      </c>
      <c r="Y21" s="19">
        <f>IFERROR(Ohj.lask.[[#This Row],[Jaettava € 6]]/Ohj.lask.[[#Totals],[Jaettava € 6]],"")</f>
        <v>9.2736779774090666E-4</v>
      </c>
      <c r="Z21" s="23">
        <f>IFERROR(Ohj.lask.[[#This Row],[Jaettava € 1]]+Ohj.lask.[[#This Row],[Jaettava € 2]]+Ohj.lask.[[#This Row],[Jaettava € 3]]+Ohj.lask.[[#This Row],[Jaettava € 4]]+Ohj.lask.[[#This Row],[Jaettava € 5]],"")</f>
        <v>1678762</v>
      </c>
      <c r="AA21" s="17">
        <v>0</v>
      </c>
      <c r="AB21" s="17">
        <v>0</v>
      </c>
      <c r="AC21" s="18">
        <v>0</v>
      </c>
      <c r="AD21" s="17">
        <v>0</v>
      </c>
      <c r="AE21" s="18">
        <v>0</v>
      </c>
      <c r="AF21" s="17">
        <v>0</v>
      </c>
      <c r="AG21" s="18">
        <v>0</v>
      </c>
      <c r="AH21" s="17">
        <v>0</v>
      </c>
      <c r="AI21" s="18">
        <v>0</v>
      </c>
      <c r="AJ21" s="17">
        <v>0</v>
      </c>
      <c r="AK21" s="18">
        <v>0</v>
      </c>
      <c r="AL21" s="17">
        <v>0</v>
      </c>
      <c r="AM21" s="18">
        <v>15000</v>
      </c>
      <c r="AN21" s="23">
        <v>15000</v>
      </c>
      <c r="AO21" s="17">
        <v>0</v>
      </c>
      <c r="AP21" s="17">
        <v>0</v>
      </c>
      <c r="AQ21" s="18">
        <f>IFERROR(VLOOKUP(Ohj.lask.[[#This Row],[Y-tunnus]],#REF!,COLUMN(#REF!),FALSE),0)</f>
        <v>0</v>
      </c>
      <c r="AR21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15000</v>
      </c>
      <c r="AS21" s="17">
        <f>Ohj.lask.[[#This Row],[Jaettava € 1]]+Ohj.lask.[[#This Row],[Päätös, € 9]]</f>
        <v>1179313</v>
      </c>
      <c r="AT21" s="113">
        <f>Ohj.lask.[[#This Row],[Jaettava € 2]]</f>
        <v>366900</v>
      </c>
      <c r="AU21" s="17">
        <f>Ohj.lask.[[#This Row],[Jaettava € 3]]+Ohj.lask.[[#This Row],[Jaettava € 4]]+Ohj.lask.[[#This Row],[Jaettava € 5]]</f>
        <v>147549</v>
      </c>
      <c r="AV21" s="42">
        <f>Ohj.lask.[[#This Row],[Jaettava € 6]]+Ohj.lask.[[#This Row],[Päätös, € 9]]</f>
        <v>1693762</v>
      </c>
      <c r="AW21" s="42">
        <v>93338</v>
      </c>
      <c r="AX21" s="23">
        <f>Ohj.lask.[[#This Row],[Perus-, suoritus- ja vaikuttavuusrahoitus yhteensä, €]]+Ohj.lask.[[#This Row],[Alv-korvaus, €]]</f>
        <v>1787100</v>
      </c>
    </row>
    <row r="22" spans="1:50" ht="12.75" x14ac:dyDescent="0.2">
      <c r="A22" s="134" t="s">
        <v>371</v>
      </c>
      <c r="B22" s="14" t="s">
        <v>459</v>
      </c>
      <c r="C22" s="14" t="s">
        <v>222</v>
      </c>
      <c r="D22" s="14" t="s">
        <v>392</v>
      </c>
      <c r="E22" s="14" t="s">
        <v>439</v>
      </c>
      <c r="F22" s="117">
        <v>19</v>
      </c>
      <c r="G22" s="124">
        <f>Ohj.lask.[[#This Row],[Tavoitteelliset opiskelija-vuodet]]-Ohj.lask.[[#This Row],[Järjestämisluvan opisk.vuosien vähimmäismäärä]]</f>
        <v>0</v>
      </c>
      <c r="H22" s="41">
        <v>19</v>
      </c>
      <c r="I22" s="15">
        <f>IFERROR(VLOOKUP($A22,'2.1 Toteut. op.vuodet'!$A:$T,COLUMN('2.1 Toteut. op.vuodet'!T:T),FALSE),0)</f>
        <v>1.3762880487023399</v>
      </c>
      <c r="J22" s="81">
        <f t="shared" si="0"/>
        <v>26.1</v>
      </c>
      <c r="K22" s="16">
        <f>IFERROR(Ohj.lask.[[#This Row],[Painotetut opiskelija-vuodet]]/Ohj.lask.[[#Totals],[Painotetut opiskelija-vuodet]],0)</f>
        <v>1.2745933021831202E-4</v>
      </c>
      <c r="L22" s="17">
        <f>ROUND(IFERROR('1.1 Jakotaulu'!L$11*Ohj.lask.[[#This Row],[%-osuus 1]],0),0)</f>
        <v>160531</v>
      </c>
      <c r="M22" s="186">
        <f>IFERROR(ROUND(VLOOKUP($A22,'2.2 Tutk. ja osien pain. pist.'!$A:$Q,COLUMN('2.2 Tutk. ja osien pain. pist.'!P:P),FALSE),1),0)</f>
        <v>1668.4</v>
      </c>
      <c r="N22" s="16">
        <f>IFERROR(Ohj.lask.[[#This Row],[Painotetut pisteet 2]]/Ohj.lask.[[#Totals],[Painotetut pisteet 2]],0)</f>
        <v>1.0710470496640354E-4</v>
      </c>
      <c r="O22" s="23">
        <f>ROUND(IFERROR('1.1 Jakotaulu'!K$12*Ohj.lask.[[#This Row],[%-osuus 2]],0),0)</f>
        <v>39327</v>
      </c>
      <c r="P22" s="187">
        <f>IFERROR(ROUND(VLOOKUP($A22,'2.3 Työll. ja jatko-opisk.'!$A:$K,COLUMN('2.3 Työll. ja jatko-opisk.'!I:I),FALSE),1),0)</f>
        <v>31.1</v>
      </c>
      <c r="Q22" s="16">
        <f>IFERROR(Ohj.lask.[[#This Row],[Painotetut pisteet 3]]/Ohj.lask.[[#Totals],[Painotetut pisteet 3]],0)</f>
        <v>1.5626342496265512E-4</v>
      </c>
      <c r="R22" s="17">
        <f>ROUND(IFERROR('1.1 Jakotaulu'!L$14*Ohj.lask.[[#This Row],[%-osuus 3]],0),0)</f>
        <v>21516</v>
      </c>
      <c r="S22" s="186">
        <f>IFERROR(ROUND(VLOOKUP($A22,'2.4 Aloittaneet palaute'!$A:$K,COLUMN('2.4 Aloittaneet palaute'!J:J),FALSE),1),0)</f>
        <v>66.900000000000006</v>
      </c>
      <c r="T22" s="20">
        <f>IFERROR(Ohj.lask.[[#This Row],[Painotetut pisteet 4]]/Ohj.lask.[[#Totals],[Painotetut pisteet 4]],0)</f>
        <v>4.064263971818673E-5</v>
      </c>
      <c r="U22" s="23">
        <f>ROUND(IFERROR('1.1 Jakotaulu'!M$16*Ohj.lask.[[#This Row],[%-osuus 4]],0),0)</f>
        <v>466</v>
      </c>
      <c r="V22" s="81">
        <f>IFERROR(ROUND(VLOOKUP($A22,'2.5 Päättäneet palaute'!$A:$AC,COLUMN('2.5 Päättäneet palaute'!AB:AB),FALSE),1),0)</f>
        <v>552</v>
      </c>
      <c r="W22" s="20">
        <f>IFERROR(Ohj.lask.[[#This Row],[Painotetut pisteet 5]]/Ohj.lask.[[#Totals],[Painotetut pisteet 5]],0)</f>
        <v>6.4026551903866643E-5</v>
      </c>
      <c r="X22" s="17">
        <f>ROUND(IFERROR('1.1 Jakotaulu'!M$17*Ohj.lask.[[#This Row],[%-osuus 5]],0),0)</f>
        <v>2204</v>
      </c>
      <c r="Y22" s="19">
        <f>IFERROR(Ohj.lask.[[#This Row],[Jaettava € 6]]/Ohj.lask.[[#Totals],[Jaettava € 6]],"")</f>
        <v>1.237645305749497E-4</v>
      </c>
      <c r="Z22" s="23">
        <f>IFERROR(Ohj.lask.[[#This Row],[Jaettava € 1]]+Ohj.lask.[[#This Row],[Jaettava € 2]]+Ohj.lask.[[#This Row],[Jaettava € 3]]+Ohj.lask.[[#This Row],[Jaettava € 4]]+Ohj.lask.[[#This Row],[Jaettava € 5]],"")</f>
        <v>224044</v>
      </c>
      <c r="AA22" s="17">
        <v>0</v>
      </c>
      <c r="AB22" s="17">
        <v>0</v>
      </c>
      <c r="AC22" s="18">
        <v>0</v>
      </c>
      <c r="AD22" s="17">
        <v>0</v>
      </c>
      <c r="AE22" s="18">
        <v>60000</v>
      </c>
      <c r="AF22" s="17">
        <v>45000</v>
      </c>
      <c r="AG22" s="18">
        <v>20000</v>
      </c>
      <c r="AH22" s="17">
        <v>0</v>
      </c>
      <c r="AI22" s="18">
        <v>0</v>
      </c>
      <c r="AJ22" s="17">
        <v>0</v>
      </c>
      <c r="AK22" s="18">
        <v>0</v>
      </c>
      <c r="AL22" s="17">
        <v>0</v>
      </c>
      <c r="AM22" s="18">
        <v>0</v>
      </c>
      <c r="AN22" s="23">
        <v>0</v>
      </c>
      <c r="AO22" s="17">
        <v>0</v>
      </c>
      <c r="AP22" s="17">
        <v>0</v>
      </c>
      <c r="AQ22" s="18">
        <f>IFERROR(VLOOKUP(Ohj.lask.[[#This Row],[Y-tunnus]],#REF!,COLUMN(#REF!),FALSE),0)</f>
        <v>0</v>
      </c>
      <c r="AR22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45000</v>
      </c>
      <c r="AS22" s="17">
        <f>Ohj.lask.[[#This Row],[Jaettava € 1]]+Ohj.lask.[[#This Row],[Päätös, € 9]]</f>
        <v>205531</v>
      </c>
      <c r="AT22" s="113">
        <f>Ohj.lask.[[#This Row],[Jaettava € 2]]</f>
        <v>39327</v>
      </c>
      <c r="AU22" s="17">
        <f>Ohj.lask.[[#This Row],[Jaettava € 3]]+Ohj.lask.[[#This Row],[Jaettava € 4]]+Ohj.lask.[[#This Row],[Jaettava € 5]]</f>
        <v>24186</v>
      </c>
      <c r="AV22" s="42">
        <f>Ohj.lask.[[#This Row],[Jaettava € 6]]+Ohj.lask.[[#This Row],[Päätös, € 9]]</f>
        <v>269044</v>
      </c>
      <c r="AW22" s="42">
        <v>0</v>
      </c>
      <c r="AX22" s="23">
        <f>Ohj.lask.[[#This Row],[Perus-, suoritus- ja vaikuttavuusrahoitus yhteensä, €]]+Ohj.lask.[[#This Row],[Alv-korvaus, €]]</f>
        <v>269044</v>
      </c>
    </row>
    <row r="23" spans="1:50" ht="12.75" x14ac:dyDescent="0.2">
      <c r="A23" s="134" t="s">
        <v>370</v>
      </c>
      <c r="B23" s="14" t="s">
        <v>146</v>
      </c>
      <c r="C23" s="14" t="s">
        <v>227</v>
      </c>
      <c r="D23" s="14" t="s">
        <v>392</v>
      </c>
      <c r="E23" s="14" t="s">
        <v>438</v>
      </c>
      <c r="F23" s="117">
        <v>29</v>
      </c>
      <c r="G23" s="124">
        <f>Ohj.lask.[[#This Row],[Tavoitteelliset opiskelija-vuodet]]-Ohj.lask.[[#This Row],[Järjestämisluvan opisk.vuosien vähimmäismäärä]]</f>
        <v>0</v>
      </c>
      <c r="H23" s="41">
        <v>29</v>
      </c>
      <c r="I23" s="15">
        <f>IFERROR(VLOOKUP($A23,'2.1 Toteut. op.vuodet'!$A:$T,COLUMN('2.1 Toteut. op.vuodet'!T:T),FALSE),0)</f>
        <v>0.80536695563958183</v>
      </c>
      <c r="J23" s="81">
        <f t="shared" si="0"/>
        <v>23.4</v>
      </c>
      <c r="K23" s="16">
        <f>IFERROR(Ohj.lask.[[#This Row],[Painotetut opiskelija-vuodet]]/Ohj.lask.[[#Totals],[Painotetut opiskelija-vuodet]],0)</f>
        <v>1.1427388226469352E-4</v>
      </c>
      <c r="L23" s="17">
        <f>ROUND(IFERROR('1.1 Jakotaulu'!L$11*Ohj.lask.[[#This Row],[%-osuus 1]],0),0)</f>
        <v>143925</v>
      </c>
      <c r="M23" s="186">
        <f>IFERROR(ROUND(VLOOKUP($A23,'2.2 Tutk. ja osien pain. pist.'!$A:$Q,COLUMN('2.2 Tutk. ja osien pain. pist.'!P:P),FALSE),1),0)</f>
        <v>4729.8999999999996</v>
      </c>
      <c r="N23" s="16">
        <f>IFERROR(Ohj.lask.[[#This Row],[Painotetut pisteet 2]]/Ohj.lask.[[#Totals],[Painotetut pisteet 2]],0)</f>
        <v>3.0364093983492688E-4</v>
      </c>
      <c r="O23" s="23">
        <f>ROUND(IFERROR('1.1 Jakotaulu'!K$12*Ohj.lask.[[#This Row],[%-osuus 2]],0),0)</f>
        <v>111491</v>
      </c>
      <c r="P23" s="187">
        <f>IFERROR(ROUND(VLOOKUP($A23,'2.3 Työll. ja jatko-opisk.'!$A:$K,COLUMN('2.3 Työll. ja jatko-opisk.'!I:I),FALSE),1),0)</f>
        <v>334.2</v>
      </c>
      <c r="Q23" s="16">
        <f>IFERROR(Ohj.lask.[[#This Row],[Painotetut pisteet 3]]/Ohj.lask.[[#Totals],[Painotetut pisteet 3]],0)</f>
        <v>1.6792037499202357E-3</v>
      </c>
      <c r="R23" s="17">
        <f>ROUND(IFERROR('1.1 Jakotaulu'!L$14*Ohj.lask.[[#This Row],[%-osuus 3]],0),0)</f>
        <v>231215</v>
      </c>
      <c r="S23" s="186">
        <f>IFERROR(ROUND(VLOOKUP($A23,'2.4 Aloittaneet palaute'!$A:$K,COLUMN('2.4 Aloittaneet palaute'!J:J),FALSE),1),0)</f>
        <v>1037</v>
      </c>
      <c r="T23" s="20">
        <f>IFERROR(Ohj.lask.[[#This Row],[Painotetut pisteet 4]]/Ohj.lask.[[#Totals],[Painotetut pisteet 4]],0)</f>
        <v>6.2999129129685555E-4</v>
      </c>
      <c r="U23" s="23">
        <f>ROUND(IFERROR('1.1 Jakotaulu'!M$16*Ohj.lask.[[#This Row],[%-osuus 4]],0),0)</f>
        <v>7229</v>
      </c>
      <c r="V23" s="81">
        <f>IFERROR(ROUND(VLOOKUP($A23,'2.5 Päättäneet palaute'!$A:$AC,COLUMN('2.5 Päättäneet palaute'!AB:AB),FALSE),1),0)</f>
        <v>9420.2000000000007</v>
      </c>
      <c r="W23" s="20">
        <f>IFERROR(Ohj.lask.[[#This Row],[Painotetut pisteet 5]]/Ohj.lask.[[#Totals],[Painotetut pisteet 5]],0)</f>
        <v>1.0926502250811678E-3</v>
      </c>
      <c r="X23" s="17">
        <f>ROUND(IFERROR('1.1 Jakotaulu'!M$17*Ohj.lask.[[#This Row],[%-osuus 5]],0),0)</f>
        <v>37613</v>
      </c>
      <c r="Y23" s="19">
        <f>IFERROR(Ohj.lask.[[#This Row],[Jaettava € 6]]/Ohj.lask.[[#Totals],[Jaettava € 6]],"")</f>
        <v>2.9359191211663884E-4</v>
      </c>
      <c r="Z23" s="23">
        <f>IFERROR(Ohj.lask.[[#This Row],[Jaettava € 1]]+Ohj.lask.[[#This Row],[Jaettava € 2]]+Ohj.lask.[[#This Row],[Jaettava € 3]]+Ohj.lask.[[#This Row],[Jaettava € 4]]+Ohj.lask.[[#This Row],[Jaettava € 5]],"")</f>
        <v>531473</v>
      </c>
      <c r="AA23" s="17">
        <v>0</v>
      </c>
      <c r="AB23" s="17">
        <v>0</v>
      </c>
      <c r="AC23" s="18">
        <v>0</v>
      </c>
      <c r="AD23" s="17">
        <v>0</v>
      </c>
      <c r="AE23" s="18">
        <v>0</v>
      </c>
      <c r="AF23" s="17">
        <v>0</v>
      </c>
      <c r="AG23" s="18">
        <v>0</v>
      </c>
      <c r="AH23" s="17">
        <v>0</v>
      </c>
      <c r="AI23" s="18">
        <v>17100</v>
      </c>
      <c r="AJ23" s="17">
        <v>0</v>
      </c>
      <c r="AK23" s="18">
        <v>0</v>
      </c>
      <c r="AL23" s="17">
        <v>0</v>
      </c>
      <c r="AM23" s="18">
        <v>0</v>
      </c>
      <c r="AN23" s="23">
        <v>0</v>
      </c>
      <c r="AO23" s="17">
        <v>0</v>
      </c>
      <c r="AP23" s="17">
        <v>0</v>
      </c>
      <c r="AQ23" s="18">
        <f>IFERROR(VLOOKUP(Ohj.lask.[[#This Row],[Y-tunnus]],#REF!,COLUMN(#REF!),FALSE),0)</f>
        <v>0</v>
      </c>
      <c r="AR23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23" s="17">
        <f>Ohj.lask.[[#This Row],[Jaettava € 1]]+Ohj.lask.[[#This Row],[Päätös, € 9]]</f>
        <v>143925</v>
      </c>
      <c r="AT23" s="113">
        <f>Ohj.lask.[[#This Row],[Jaettava € 2]]</f>
        <v>111491</v>
      </c>
      <c r="AU23" s="17">
        <f>Ohj.lask.[[#This Row],[Jaettava € 3]]+Ohj.lask.[[#This Row],[Jaettava € 4]]+Ohj.lask.[[#This Row],[Jaettava € 5]]</f>
        <v>276057</v>
      </c>
      <c r="AV23" s="42">
        <f>Ohj.lask.[[#This Row],[Jaettava € 6]]+Ohj.lask.[[#This Row],[Päätös, € 9]]</f>
        <v>531473</v>
      </c>
      <c r="AW23" s="42">
        <v>10448</v>
      </c>
      <c r="AX23" s="23">
        <f>Ohj.lask.[[#This Row],[Perus-, suoritus- ja vaikuttavuusrahoitus yhteensä, €]]+Ohj.lask.[[#This Row],[Alv-korvaus, €]]</f>
        <v>541921</v>
      </c>
    </row>
    <row r="24" spans="1:50" ht="12.75" x14ac:dyDescent="0.2">
      <c r="A24" s="134" t="s">
        <v>369</v>
      </c>
      <c r="B24" s="14" t="s">
        <v>30</v>
      </c>
      <c r="C24" s="14" t="s">
        <v>224</v>
      </c>
      <c r="D24" s="14" t="s">
        <v>392</v>
      </c>
      <c r="E24" s="14" t="s">
        <v>438</v>
      </c>
      <c r="F24" s="117">
        <v>120</v>
      </c>
      <c r="G24" s="124">
        <f>Ohj.lask.[[#This Row],[Tavoitteelliset opiskelija-vuodet]]-Ohj.lask.[[#This Row],[Järjestämisluvan opisk.vuosien vähimmäismäärä]]</f>
        <v>0</v>
      </c>
      <c r="H24" s="41">
        <v>120</v>
      </c>
      <c r="I24" s="15">
        <f>IFERROR(VLOOKUP($A24,'2.1 Toteut. op.vuodet'!$A:$T,COLUMN('2.1 Toteut. op.vuodet'!T:T),FALSE),0)</f>
        <v>1.0050459795767448</v>
      </c>
      <c r="J24" s="81">
        <f t="shared" si="0"/>
        <v>120.6</v>
      </c>
      <c r="K24" s="16">
        <f>IFERROR(Ohj.lask.[[#This Row],[Painotetut opiskelija-vuodet]]/Ohj.lask.[[#Totals],[Painotetut opiskelija-vuodet]],0)</f>
        <v>5.8895000859495892E-4</v>
      </c>
      <c r="L24" s="17">
        <f>ROUND(IFERROR('1.1 Jakotaulu'!L$11*Ohj.lask.[[#This Row],[%-osuus 1]],0),0)</f>
        <v>741765</v>
      </c>
      <c r="M24" s="186">
        <f>IFERROR(ROUND(VLOOKUP($A24,'2.2 Tutk. ja osien pain. pist.'!$A:$Q,COLUMN('2.2 Tutk. ja osien pain. pist.'!P:P),FALSE),1),0)</f>
        <v>10813.7</v>
      </c>
      <c r="N24" s="16">
        <f>IFERROR(Ohj.lask.[[#This Row],[Painotetut pisteet 2]]/Ohj.lask.[[#Totals],[Painotetut pisteet 2]],0)</f>
        <v>6.9419692405610042E-4</v>
      </c>
      <c r="O24" s="23">
        <f>ROUND(IFERROR('1.1 Jakotaulu'!K$12*Ohj.lask.[[#This Row],[%-osuus 2]],0),0)</f>
        <v>254897</v>
      </c>
      <c r="P24" s="187">
        <f>IFERROR(ROUND(VLOOKUP($A24,'2.3 Työll. ja jatko-opisk.'!$A:$K,COLUMN('2.3 Työll. ja jatko-opisk.'!I:I),FALSE),1),0)</f>
        <v>129.30000000000001</v>
      </c>
      <c r="Q24" s="16">
        <f>IFERROR(Ohj.lask.[[#This Row],[Painotetut pisteet 3]]/Ohj.lask.[[#Totals],[Painotetut pisteet 3]],0)</f>
        <v>6.4967398224023492E-4</v>
      </c>
      <c r="R24" s="17">
        <f>ROUND(IFERROR('1.1 Jakotaulu'!L$14*Ohj.lask.[[#This Row],[%-osuus 3]],0),0)</f>
        <v>89456</v>
      </c>
      <c r="S24" s="186">
        <f>IFERROR(ROUND(VLOOKUP($A24,'2.4 Aloittaneet palaute'!$A:$K,COLUMN('2.4 Aloittaneet palaute'!J:J),FALSE),1),0)</f>
        <v>1239.0999999999999</v>
      </c>
      <c r="T24" s="20">
        <f>IFERROR(Ohj.lask.[[#This Row],[Painotetut pisteet 4]]/Ohj.lask.[[#Totals],[Painotetut pisteet 4]],0)</f>
        <v>7.5276972907033137E-4</v>
      </c>
      <c r="U24" s="23">
        <f>ROUND(IFERROR('1.1 Jakotaulu'!M$16*Ohj.lask.[[#This Row],[%-osuus 4]],0),0)</f>
        <v>8638</v>
      </c>
      <c r="V24" s="81">
        <f>IFERROR(ROUND(VLOOKUP($A24,'2.5 Päättäneet palaute'!$A:$AC,COLUMN('2.5 Päättäneet palaute'!AB:AB),FALSE),1),0)</f>
        <v>9577.6</v>
      </c>
      <c r="W24" s="20">
        <f>IFERROR(Ohj.lask.[[#This Row],[Painotetut pisteet 5]]/Ohj.lask.[[#Totals],[Painotetut pisteet 5]],0)</f>
        <v>1.1109070715841906E-3</v>
      </c>
      <c r="X24" s="17">
        <f>ROUND(IFERROR('1.1 Jakotaulu'!M$17*Ohj.lask.[[#This Row],[%-osuus 5]],0),0)</f>
        <v>38241</v>
      </c>
      <c r="Y24" s="19">
        <f>IFERROR(Ohj.lask.[[#This Row],[Jaettava € 6]]/Ohj.lask.[[#Totals],[Jaettava € 6]],"")</f>
        <v>6.2588081737438301E-4</v>
      </c>
      <c r="Z24" s="23">
        <f>IFERROR(Ohj.lask.[[#This Row],[Jaettava € 1]]+Ohj.lask.[[#This Row],[Jaettava € 2]]+Ohj.lask.[[#This Row],[Jaettava € 3]]+Ohj.lask.[[#This Row],[Jaettava € 4]]+Ohj.lask.[[#This Row],[Jaettava € 5]],"")</f>
        <v>1132997</v>
      </c>
      <c r="AA24" s="17">
        <v>0</v>
      </c>
      <c r="AB24" s="17">
        <v>0</v>
      </c>
      <c r="AC24" s="18">
        <v>0</v>
      </c>
      <c r="AD24" s="17">
        <v>0</v>
      </c>
      <c r="AE24" s="18">
        <v>0</v>
      </c>
      <c r="AF24" s="17">
        <v>0</v>
      </c>
      <c r="AG24" s="18">
        <v>0</v>
      </c>
      <c r="AH24" s="17">
        <v>0</v>
      </c>
      <c r="AI24" s="18">
        <v>0</v>
      </c>
      <c r="AJ24" s="17">
        <v>0</v>
      </c>
      <c r="AK24" s="18">
        <v>0</v>
      </c>
      <c r="AL24" s="17">
        <v>0</v>
      </c>
      <c r="AM24" s="18">
        <v>35000</v>
      </c>
      <c r="AN24" s="23">
        <v>20000</v>
      </c>
      <c r="AO24" s="17">
        <v>0</v>
      </c>
      <c r="AP24" s="17">
        <v>0</v>
      </c>
      <c r="AQ24" s="18">
        <f>IFERROR(VLOOKUP(Ohj.lask.[[#This Row],[Y-tunnus]],#REF!,COLUMN(#REF!),FALSE),0)</f>
        <v>0</v>
      </c>
      <c r="AR24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20000</v>
      </c>
      <c r="AS24" s="17">
        <f>Ohj.lask.[[#This Row],[Jaettava € 1]]+Ohj.lask.[[#This Row],[Päätös, € 9]]</f>
        <v>761765</v>
      </c>
      <c r="AT24" s="113">
        <f>Ohj.lask.[[#This Row],[Jaettava € 2]]</f>
        <v>254897</v>
      </c>
      <c r="AU24" s="17">
        <f>Ohj.lask.[[#This Row],[Jaettava € 3]]+Ohj.lask.[[#This Row],[Jaettava € 4]]+Ohj.lask.[[#This Row],[Jaettava € 5]]</f>
        <v>136335</v>
      </c>
      <c r="AV24" s="42">
        <f>Ohj.lask.[[#This Row],[Jaettava € 6]]+Ohj.lask.[[#This Row],[Päätös, € 9]]</f>
        <v>1152997</v>
      </c>
      <c r="AW24" s="42">
        <v>67424</v>
      </c>
      <c r="AX24" s="23">
        <f>Ohj.lask.[[#This Row],[Perus-, suoritus- ja vaikuttavuusrahoitus yhteensä, €]]+Ohj.lask.[[#This Row],[Alv-korvaus, €]]</f>
        <v>1220421</v>
      </c>
    </row>
    <row r="25" spans="1:50" ht="12.75" x14ac:dyDescent="0.2">
      <c r="A25" s="134" t="s">
        <v>368</v>
      </c>
      <c r="B25" s="14" t="s">
        <v>31</v>
      </c>
      <c r="C25" s="14" t="s">
        <v>234</v>
      </c>
      <c r="D25" s="14" t="s">
        <v>392</v>
      </c>
      <c r="E25" s="14" t="s">
        <v>438</v>
      </c>
      <c r="F25" s="117">
        <v>183</v>
      </c>
      <c r="G25" s="124">
        <f>Ohj.lask.[[#This Row],[Tavoitteelliset opiskelija-vuodet]]-Ohj.lask.[[#This Row],[Järjestämisluvan opisk.vuosien vähimmäismäärä]]</f>
        <v>20</v>
      </c>
      <c r="H25" s="41">
        <v>203</v>
      </c>
      <c r="I25" s="15">
        <f>IFERROR(VLOOKUP($A25,'2.1 Toteut. op.vuodet'!$A:$T,COLUMN('2.1 Toteut. op.vuodet'!T:T),FALSE),0)</f>
        <v>1.6711841342935103</v>
      </c>
      <c r="J25" s="81">
        <f t="shared" si="0"/>
        <v>339.3</v>
      </c>
      <c r="K25" s="16">
        <f>IFERROR(Ohj.lask.[[#This Row],[Painotetut opiskelija-vuodet]]/Ohj.lask.[[#Totals],[Painotetut opiskelija-vuodet]],0)</f>
        <v>1.6569712928380562E-3</v>
      </c>
      <c r="L25" s="17">
        <f>ROUND(IFERROR('1.1 Jakotaulu'!L$11*Ohj.lask.[[#This Row],[%-osuus 1]],0),0)</f>
        <v>2086907</v>
      </c>
      <c r="M25" s="186">
        <f>IFERROR(ROUND(VLOOKUP($A25,'2.2 Tutk. ja osien pain. pist.'!$A:$Q,COLUMN('2.2 Tutk. ja osien pain. pist.'!P:P),FALSE),1),0)</f>
        <v>19381.8</v>
      </c>
      <c r="N25" s="16">
        <f>IFERROR(Ohj.lask.[[#This Row],[Painotetut pisteet 2]]/Ohj.lask.[[#Totals],[Painotetut pisteet 2]],0)</f>
        <v>1.2442351778457444E-3</v>
      </c>
      <c r="O25" s="23">
        <f>ROUND(IFERROR('1.1 Jakotaulu'!K$12*Ohj.lask.[[#This Row],[%-osuus 2]],0),0)</f>
        <v>456861</v>
      </c>
      <c r="P25" s="187">
        <f>IFERROR(ROUND(VLOOKUP($A25,'2.3 Työll. ja jatko-opisk.'!$A:$K,COLUMN('2.3 Työll. ja jatko-opisk.'!I:I),FALSE),1),0)</f>
        <v>170.3</v>
      </c>
      <c r="Q25" s="16">
        <f>IFERROR(Ohj.lask.[[#This Row],[Painotetut pisteet 3]]/Ohj.lask.[[#Totals],[Painotetut pisteet 3]],0)</f>
        <v>8.5568042672476419E-4</v>
      </c>
      <c r="R25" s="17">
        <f>ROUND(IFERROR('1.1 Jakotaulu'!L$14*Ohj.lask.[[#This Row],[%-osuus 3]],0),0)</f>
        <v>117821</v>
      </c>
      <c r="S25" s="186">
        <f>IFERROR(ROUND(VLOOKUP($A25,'2.4 Aloittaneet palaute'!$A:$K,COLUMN('2.4 Aloittaneet palaute'!J:J),FALSE),1),0)</f>
        <v>1887.6</v>
      </c>
      <c r="T25" s="20">
        <f>IFERROR(Ohj.lask.[[#This Row],[Painotetut pisteet 4]]/Ohj.lask.[[#Totals],[Painotetut pisteet 4]],0)</f>
        <v>1.1467421036180756E-3</v>
      </c>
      <c r="U25" s="23">
        <f>ROUND(IFERROR('1.1 Jakotaulu'!M$16*Ohj.lask.[[#This Row],[%-osuus 4]],0),0)</f>
        <v>13158</v>
      </c>
      <c r="V25" s="81">
        <f>IFERROR(ROUND(VLOOKUP($A25,'2.5 Päättäneet palaute'!$A:$AC,COLUMN('2.5 Päättäneet palaute'!AB:AB),FALSE),1),0)</f>
        <v>7818.3</v>
      </c>
      <c r="W25" s="20">
        <f>IFERROR(Ohj.lask.[[#This Row],[Painotetut pisteet 5]]/Ohj.lask.[[#Totals],[Painotetut pisteet 5]],0)</f>
        <v>9.0684563541666772E-4</v>
      </c>
      <c r="X25" s="17">
        <f>ROUND(IFERROR('1.1 Jakotaulu'!M$17*Ohj.lask.[[#This Row],[%-osuus 5]],0),0)</f>
        <v>31217</v>
      </c>
      <c r="Y25" s="19">
        <f>IFERROR(Ohj.lask.[[#This Row],[Jaettava € 6]]/Ohj.lask.[[#Totals],[Jaettava € 6]],"")</f>
        <v>1.4948062175854438E-3</v>
      </c>
      <c r="Z25" s="23">
        <f>IFERROR(Ohj.lask.[[#This Row],[Jaettava € 1]]+Ohj.lask.[[#This Row],[Jaettava € 2]]+Ohj.lask.[[#This Row],[Jaettava € 3]]+Ohj.lask.[[#This Row],[Jaettava € 4]]+Ohj.lask.[[#This Row],[Jaettava € 5]],"")</f>
        <v>2705964</v>
      </c>
      <c r="AA25" s="17">
        <v>0</v>
      </c>
      <c r="AB25" s="17">
        <v>0</v>
      </c>
      <c r="AC25" s="18">
        <v>145000</v>
      </c>
      <c r="AD25" s="17">
        <v>0</v>
      </c>
      <c r="AE25" s="18">
        <v>0</v>
      </c>
      <c r="AF25" s="17">
        <v>0</v>
      </c>
      <c r="AG25" s="18">
        <v>75000</v>
      </c>
      <c r="AH25" s="17">
        <v>0</v>
      </c>
      <c r="AI25" s="18">
        <v>0</v>
      </c>
      <c r="AJ25" s="17">
        <v>0</v>
      </c>
      <c r="AK25" s="18">
        <v>0</v>
      </c>
      <c r="AL25" s="17">
        <v>0</v>
      </c>
      <c r="AM25" s="18">
        <v>0</v>
      </c>
      <c r="AN25" s="23">
        <v>0</v>
      </c>
      <c r="AO25" s="17">
        <v>0</v>
      </c>
      <c r="AP25" s="17">
        <v>0</v>
      </c>
      <c r="AQ25" s="18">
        <f>IFERROR(VLOOKUP(Ohj.lask.[[#This Row],[Y-tunnus]],#REF!,COLUMN(#REF!),FALSE),0)</f>
        <v>0</v>
      </c>
      <c r="AR25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25" s="17">
        <f>Ohj.lask.[[#This Row],[Jaettava € 1]]+Ohj.lask.[[#This Row],[Päätös, € 9]]</f>
        <v>2086907</v>
      </c>
      <c r="AT25" s="113">
        <f>Ohj.lask.[[#This Row],[Jaettava € 2]]</f>
        <v>456861</v>
      </c>
      <c r="AU25" s="17">
        <f>Ohj.lask.[[#This Row],[Jaettava € 3]]+Ohj.lask.[[#This Row],[Jaettava € 4]]+Ohj.lask.[[#This Row],[Jaettava € 5]]</f>
        <v>162196</v>
      </c>
      <c r="AV25" s="42">
        <f>Ohj.lask.[[#This Row],[Jaettava € 6]]+Ohj.lask.[[#This Row],[Päätös, € 9]]</f>
        <v>2705964</v>
      </c>
      <c r="AW25" s="42">
        <v>464123</v>
      </c>
      <c r="AX25" s="23">
        <f>Ohj.lask.[[#This Row],[Perus-, suoritus- ja vaikuttavuusrahoitus yhteensä, €]]+Ohj.lask.[[#This Row],[Alv-korvaus, €]]</f>
        <v>3170087</v>
      </c>
    </row>
    <row r="26" spans="1:50" ht="12.75" x14ac:dyDescent="0.2">
      <c r="A26" s="134" t="s">
        <v>367</v>
      </c>
      <c r="B26" s="14" t="s">
        <v>162</v>
      </c>
      <c r="C26" s="107" t="s">
        <v>216</v>
      </c>
      <c r="D26" s="107" t="s">
        <v>392</v>
      </c>
      <c r="E26" s="107" t="s">
        <v>438</v>
      </c>
      <c r="F26" s="116">
        <v>11</v>
      </c>
      <c r="G26" s="124">
        <f>Ohj.lask.[[#This Row],[Tavoitteelliset opiskelija-vuodet]]-Ohj.lask.[[#This Row],[Järjestämisluvan opisk.vuosien vähimmäismäärä]]</f>
        <v>14</v>
      </c>
      <c r="H26" s="41">
        <v>25</v>
      </c>
      <c r="I26" s="15">
        <f>IFERROR(VLOOKUP($A26,'2.1 Toteut. op.vuodet'!$A:$T,COLUMN('2.1 Toteut. op.vuodet'!T:T),FALSE),0)</f>
        <v>0.53899999999999992</v>
      </c>
      <c r="J26" s="81">
        <f t="shared" si="0"/>
        <v>13.5</v>
      </c>
      <c r="K26" s="16">
        <f>IFERROR(Ohj.lask.[[#This Row],[Painotetut opiskelija-vuodet]]/Ohj.lask.[[#Totals],[Painotetut opiskelija-vuodet]],0)</f>
        <v>6.5927239768092419E-5</v>
      </c>
      <c r="L26" s="17">
        <f>ROUND(IFERROR('1.1 Jakotaulu'!L$11*Ohj.lask.[[#This Row],[%-osuus 1]],0),0)</f>
        <v>83033</v>
      </c>
      <c r="M26" s="186">
        <f>IFERROR(ROUND(VLOOKUP($A26,'2.2 Tutk. ja osien pain. pist.'!$A:$Q,COLUMN('2.2 Tutk. ja osien pain. pist.'!P:P),FALSE),1),0)</f>
        <v>1313.5</v>
      </c>
      <c r="N26" s="16">
        <f>IFERROR(Ohj.lask.[[#This Row],[Painotetut pisteet 2]]/Ohj.lask.[[#Totals],[Painotetut pisteet 2]],0)</f>
        <v>8.4321523599479171E-5</v>
      </c>
      <c r="O26" s="23">
        <f>ROUND(IFERROR('1.1 Jakotaulu'!K$12*Ohj.lask.[[#This Row],[%-osuus 2]],0),0)</f>
        <v>30961</v>
      </c>
      <c r="P26" s="187">
        <f>IFERROR(ROUND(VLOOKUP($A26,'2.3 Työll. ja jatko-opisk.'!$A:$K,COLUMN('2.3 Työll. ja jatko-opisk.'!I:I),FALSE),1),0)</f>
        <v>98</v>
      </c>
      <c r="Q26" s="20">
        <f>IFERROR(Ohj.lask.[[#This Row],[Painotetut pisteet 3]]/Ohj.lask.[[#Totals],[Painotetut pisteet 3]],0)</f>
        <v>4.9240564779228944E-4</v>
      </c>
      <c r="R26" s="17">
        <f>ROUND(IFERROR('1.1 Jakotaulu'!L$14*Ohj.lask.[[#This Row],[%-osuus 3]],0),0)</f>
        <v>67801</v>
      </c>
      <c r="S26" s="186">
        <f>IFERROR(ROUND(VLOOKUP($A26,'2.4 Aloittaneet palaute'!$A:$K,COLUMN('2.4 Aloittaneet palaute'!J:J),FALSE),1),0)</f>
        <v>170.6</v>
      </c>
      <c r="T26" s="20">
        <f>IFERROR(Ohj.lask.[[#This Row],[Painotetut pisteet 4]]/Ohj.lask.[[#Totals],[Painotetut pisteet 4]],0)</f>
        <v>1.0364176884787227E-4</v>
      </c>
      <c r="U26" s="23">
        <f>ROUND(IFERROR('1.1 Jakotaulu'!M$16*Ohj.lask.[[#This Row],[%-osuus 4]],0),0)</f>
        <v>1189</v>
      </c>
      <c r="V26" s="81">
        <f>IFERROR(ROUND(VLOOKUP($A26,'2.5 Päättäneet palaute'!$A:$AC,COLUMN('2.5 Päättäneet palaute'!AB:AB),FALSE),1),0)</f>
        <v>2550.1</v>
      </c>
      <c r="W26" s="20">
        <f>IFERROR(Ohj.lask.[[#This Row],[Painotetut pisteet 5]]/Ohj.lask.[[#Totals],[Painotetut pisteet 5]],0)</f>
        <v>2.9578643117762738E-4</v>
      </c>
      <c r="X26" s="17">
        <f>ROUND(IFERROR('1.1 Jakotaulu'!M$17*Ohj.lask.[[#This Row],[%-osuus 5]],0),0)</f>
        <v>10182</v>
      </c>
      <c r="Y26" s="19">
        <f>IFERROR(Ohj.lask.[[#This Row],[Jaettava € 6]]/Ohj.lask.[[#Totals],[Jaettava € 6]],"")</f>
        <v>1.0670716159790367E-4</v>
      </c>
      <c r="Z26" s="23">
        <f>IFERROR(Ohj.lask.[[#This Row],[Jaettava € 1]]+Ohj.lask.[[#This Row],[Jaettava € 2]]+Ohj.lask.[[#This Row],[Jaettava € 3]]+Ohj.lask.[[#This Row],[Jaettava € 4]]+Ohj.lask.[[#This Row],[Jaettava € 5]],"")</f>
        <v>193166</v>
      </c>
      <c r="AA26" s="17">
        <v>0</v>
      </c>
      <c r="AB26" s="17">
        <v>0</v>
      </c>
      <c r="AC26" s="18">
        <v>0</v>
      </c>
      <c r="AD26" s="17">
        <v>0</v>
      </c>
      <c r="AE26" s="18">
        <v>0</v>
      </c>
      <c r="AF26" s="17">
        <v>0</v>
      </c>
      <c r="AG26" s="18">
        <v>0</v>
      </c>
      <c r="AH26" s="17">
        <v>0</v>
      </c>
      <c r="AI26" s="18">
        <v>0</v>
      </c>
      <c r="AJ26" s="17">
        <v>0</v>
      </c>
      <c r="AK26" s="18">
        <v>0</v>
      </c>
      <c r="AL26" s="17">
        <v>0</v>
      </c>
      <c r="AM26" s="18">
        <v>0</v>
      </c>
      <c r="AN26" s="23">
        <v>0</v>
      </c>
      <c r="AO26" s="17">
        <v>0</v>
      </c>
      <c r="AP26" s="17">
        <v>0</v>
      </c>
      <c r="AQ26" s="18">
        <f>IFERROR(VLOOKUP(Ohj.lask.[[#This Row],[Y-tunnus]],#REF!,COLUMN(#REF!),FALSE),0)</f>
        <v>0</v>
      </c>
      <c r="AR26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26" s="17">
        <f>Ohj.lask.[[#This Row],[Jaettava € 1]]+Ohj.lask.[[#This Row],[Päätös, € 9]]</f>
        <v>83033</v>
      </c>
      <c r="AT26" s="113">
        <f>Ohj.lask.[[#This Row],[Jaettava € 2]]</f>
        <v>30961</v>
      </c>
      <c r="AU26" s="17">
        <f>Ohj.lask.[[#This Row],[Jaettava € 3]]+Ohj.lask.[[#This Row],[Jaettava € 4]]+Ohj.lask.[[#This Row],[Jaettava € 5]]</f>
        <v>79172</v>
      </c>
      <c r="AV26" s="42">
        <f>Ohj.lask.[[#This Row],[Jaettava € 6]]+Ohj.lask.[[#This Row],[Päätös, € 9]]</f>
        <v>193166</v>
      </c>
      <c r="AW26" s="42">
        <v>6307</v>
      </c>
      <c r="AX26" s="23">
        <f>Ohj.lask.[[#This Row],[Perus-, suoritus- ja vaikuttavuusrahoitus yhteensä, €]]+Ohj.lask.[[#This Row],[Alv-korvaus, €]]</f>
        <v>199473</v>
      </c>
    </row>
    <row r="27" spans="1:50" ht="12.75" x14ac:dyDescent="0.2">
      <c r="A27" s="134" t="s">
        <v>366</v>
      </c>
      <c r="B27" s="14" t="s">
        <v>32</v>
      </c>
      <c r="C27" s="14" t="s">
        <v>216</v>
      </c>
      <c r="D27" s="14" t="s">
        <v>393</v>
      </c>
      <c r="E27" s="14" t="s">
        <v>438</v>
      </c>
      <c r="F27" s="117">
        <v>8947</v>
      </c>
      <c r="G27" s="124">
        <f>Ohj.lask.[[#This Row],[Tavoitteelliset opiskelija-vuodet]]-Ohj.lask.[[#This Row],[Järjestämisluvan opisk.vuosien vähimmäismäärä]]</f>
        <v>1006</v>
      </c>
      <c r="H27" s="41">
        <v>9953</v>
      </c>
      <c r="I27" s="15">
        <f>IFERROR(VLOOKUP($A27,'2.1 Toteut. op.vuodet'!$A:$T,COLUMN('2.1 Toteut. op.vuodet'!T:T),FALSE),0)</f>
        <v>1.0647829779253657</v>
      </c>
      <c r="J27" s="81">
        <f t="shared" si="0"/>
        <v>10597.8</v>
      </c>
      <c r="K27" s="16">
        <f>IFERROR(Ohj.lask.[[#This Row],[Painotetut opiskelija-vuodet]]/Ohj.lask.[[#Totals],[Painotetut opiskelija-vuodet]],0)</f>
        <v>5.1754348267725174E-2</v>
      </c>
      <c r="L27" s="17">
        <f>ROUND(IFERROR('1.1 Jakotaulu'!L$11*Ohj.lask.[[#This Row],[%-osuus 1]],0),0)</f>
        <v>65183101</v>
      </c>
      <c r="M27" s="186">
        <f>IFERROR(ROUND(VLOOKUP($A27,'2.2 Tutk. ja osien pain. pist.'!$A:$Q,COLUMN('2.2 Tutk. ja osien pain. pist.'!P:P),FALSE),1),0)</f>
        <v>748717</v>
      </c>
      <c r="N27" s="16">
        <f>IFERROR(Ohj.lask.[[#This Row],[Painotetut pisteet 2]]/Ohj.lask.[[#Totals],[Painotetut pisteet 2]],0)</f>
        <v>4.8064680765002851E-2</v>
      </c>
      <c r="O27" s="23">
        <f>ROUND(IFERROR('1.1 Jakotaulu'!K$12*Ohj.lask.[[#This Row],[%-osuus 2]],0),0)</f>
        <v>17648486</v>
      </c>
      <c r="P27" s="187">
        <f>IFERROR(ROUND(VLOOKUP($A27,'2.3 Työll. ja jatko-opisk.'!$A:$K,COLUMN('2.3 Työll. ja jatko-opisk.'!I:I),FALSE),1),0)</f>
        <v>9425.1</v>
      </c>
      <c r="Q27" s="16">
        <f>IFERROR(Ohj.lask.[[#This Row],[Painotetut pisteet 3]]/Ohj.lask.[[#Totals],[Painotetut pisteet 3]],0)</f>
        <v>4.7356861949052108E-2</v>
      </c>
      <c r="R27" s="17">
        <f>ROUND(IFERROR('1.1 Jakotaulu'!L$14*Ohj.lask.[[#This Row],[%-osuus 3]],0),0)</f>
        <v>6520720</v>
      </c>
      <c r="S27" s="186">
        <f>IFERROR(ROUND(VLOOKUP($A27,'2.4 Aloittaneet palaute'!$A:$K,COLUMN('2.4 Aloittaneet palaute'!J:J),FALSE),1),0)</f>
        <v>73344.600000000006</v>
      </c>
      <c r="T27" s="20">
        <f>IFERROR(Ohj.lask.[[#This Row],[Painotetut pisteet 4]]/Ohj.lask.[[#Totals],[Painotetut pisteet 4]],0)</f>
        <v>4.4557819926375461E-2</v>
      </c>
      <c r="U27" s="23">
        <f>ROUND(IFERROR('1.1 Jakotaulu'!M$16*Ohj.lask.[[#This Row],[%-osuus 4]],0),0)</f>
        <v>511276</v>
      </c>
      <c r="V27" s="81">
        <f>IFERROR(ROUND(VLOOKUP($A27,'2.5 Päättäneet palaute'!$A:$AC,COLUMN('2.5 Päättäneet palaute'!AB:AB),FALSE),1),0)</f>
        <v>301782.40000000002</v>
      </c>
      <c r="W27" s="20">
        <f>IFERROR(Ohj.lask.[[#This Row],[Painotetut pisteet 5]]/Ohj.lask.[[#Totals],[Painotetut pisteet 5]],0)</f>
        <v>3.5003779886364939E-2</v>
      </c>
      <c r="X27" s="17">
        <f>ROUND(IFERROR('1.1 Jakotaulu'!M$17*Ohj.lask.[[#This Row],[%-osuus 5]],0),0)</f>
        <v>1204946</v>
      </c>
      <c r="Y27" s="19">
        <f>IFERROR(Ohj.lask.[[#This Row],[Jaettava € 6]]/Ohj.lask.[[#Totals],[Jaettava € 6]],"")</f>
        <v>5.030732240915263E-2</v>
      </c>
      <c r="Z27" s="23">
        <f>IFERROR(Ohj.lask.[[#This Row],[Jaettava € 1]]+Ohj.lask.[[#This Row],[Jaettava € 2]]+Ohj.lask.[[#This Row],[Jaettava € 3]]+Ohj.lask.[[#This Row],[Jaettava € 4]]+Ohj.lask.[[#This Row],[Jaettava € 5]],"")</f>
        <v>91068529</v>
      </c>
      <c r="AA27" s="17">
        <v>512500</v>
      </c>
      <c r="AB27" s="17">
        <v>0</v>
      </c>
      <c r="AC27" s="18">
        <v>0</v>
      </c>
      <c r="AD27" s="17">
        <v>0</v>
      </c>
      <c r="AE27" s="18">
        <v>0</v>
      </c>
      <c r="AF27" s="17">
        <v>0</v>
      </c>
      <c r="AG27" s="18">
        <v>1775844</v>
      </c>
      <c r="AH27" s="17">
        <v>0</v>
      </c>
      <c r="AI27" s="18">
        <v>0</v>
      </c>
      <c r="AJ27" s="17">
        <v>245000</v>
      </c>
      <c r="AK27" s="18">
        <v>0</v>
      </c>
      <c r="AL27" s="17">
        <v>0</v>
      </c>
      <c r="AM27" s="18">
        <v>160000</v>
      </c>
      <c r="AN27" s="23">
        <v>0</v>
      </c>
      <c r="AO27" s="17">
        <v>75000</v>
      </c>
      <c r="AP27" s="17">
        <v>25000</v>
      </c>
      <c r="AQ27" s="18">
        <f>IFERROR(VLOOKUP(Ohj.lask.[[#This Row],[Y-tunnus]],#REF!,COLUMN(#REF!),FALSE),0)</f>
        <v>0</v>
      </c>
      <c r="AR27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270000</v>
      </c>
      <c r="AS27" s="17">
        <f>Ohj.lask.[[#This Row],[Jaettava € 1]]+Ohj.lask.[[#This Row],[Päätös, € 9]]</f>
        <v>65453101</v>
      </c>
      <c r="AT27" s="113">
        <f>Ohj.lask.[[#This Row],[Jaettava € 2]]</f>
        <v>17648486</v>
      </c>
      <c r="AU27" s="17">
        <f>Ohj.lask.[[#This Row],[Jaettava € 3]]+Ohj.lask.[[#This Row],[Jaettava € 4]]+Ohj.lask.[[#This Row],[Jaettava € 5]]</f>
        <v>8236942</v>
      </c>
      <c r="AV27" s="42">
        <f>Ohj.lask.[[#This Row],[Jaettava € 6]]+Ohj.lask.[[#This Row],[Päätös, € 9]]</f>
        <v>91338529</v>
      </c>
      <c r="AW27" s="42">
        <v>0</v>
      </c>
      <c r="AX27" s="23">
        <f>Ohj.lask.[[#This Row],[Perus-, suoritus- ja vaikuttavuusrahoitus yhteensä, €]]+Ohj.lask.[[#This Row],[Alv-korvaus, €]]</f>
        <v>91338529</v>
      </c>
    </row>
    <row r="28" spans="1:50" ht="12.75" x14ac:dyDescent="0.2">
      <c r="A28" s="134" t="s">
        <v>362</v>
      </c>
      <c r="B28" s="14" t="s">
        <v>33</v>
      </c>
      <c r="C28" s="14" t="s">
        <v>216</v>
      </c>
      <c r="D28" s="14" t="s">
        <v>392</v>
      </c>
      <c r="E28" s="14" t="s">
        <v>438</v>
      </c>
      <c r="F28" s="117">
        <v>59</v>
      </c>
      <c r="G28" s="124">
        <f>Ohj.lask.[[#This Row],[Tavoitteelliset opiskelija-vuodet]]-Ohj.lask.[[#This Row],[Järjestämisluvan opisk.vuosien vähimmäismäärä]]</f>
        <v>5</v>
      </c>
      <c r="H28" s="41">
        <v>64</v>
      </c>
      <c r="I28" s="15">
        <f>IFERROR(VLOOKUP($A28,'2.1 Toteut. op.vuodet'!$A:$T,COLUMN('2.1 Toteut. op.vuodet'!T:T),FALSE),0)</f>
        <v>1.5976220740276605</v>
      </c>
      <c r="J28" s="81">
        <f t="shared" si="0"/>
        <v>102.2</v>
      </c>
      <c r="K28" s="16">
        <f>IFERROR(Ohj.lask.[[#This Row],[Painotetut opiskelija-vuodet]]/Ohj.lask.[[#Totals],[Painotetut opiskelija-vuodet]],0)</f>
        <v>4.990936225406701E-4</v>
      </c>
      <c r="L28" s="17">
        <f>ROUND(IFERROR('1.1 Jakotaulu'!L$11*Ohj.lask.[[#This Row],[%-osuus 1]],0),0)</f>
        <v>628594</v>
      </c>
      <c r="M28" s="186">
        <f>IFERROR(ROUND(VLOOKUP($A28,'2.2 Tutk. ja osien pain. pist.'!$A:$Q,COLUMN('2.2 Tutk. ja osien pain. pist.'!P:P),FALSE),1),0)</f>
        <v>11877.8</v>
      </c>
      <c r="N28" s="16">
        <f>IFERROR(Ohj.lask.[[#This Row],[Painotetut pisteet 2]]/Ohj.lask.[[#Totals],[Painotetut pisteet 2]],0)</f>
        <v>7.6250795052142638E-4</v>
      </c>
      <c r="O28" s="23">
        <f>ROUND(IFERROR('1.1 Jakotaulu'!K$12*Ohj.lask.[[#This Row],[%-osuus 2]],0),0)</f>
        <v>279979</v>
      </c>
      <c r="P28" s="187">
        <f>IFERROR(ROUND(VLOOKUP($A28,'2.3 Työll. ja jatko-opisk.'!$A:$K,COLUMN('2.3 Työll. ja jatko-opisk.'!I:I),FALSE),1),0)</f>
        <v>67.599999999999994</v>
      </c>
      <c r="Q28" s="16">
        <f>IFERROR(Ohj.lask.[[#This Row],[Painotetut pisteet 3]]/Ohj.lask.[[#Totals],[Painotetut pisteet 3]],0)</f>
        <v>3.3965940602815063E-4</v>
      </c>
      <c r="R28" s="17">
        <f>ROUND(IFERROR('1.1 Jakotaulu'!L$14*Ohj.lask.[[#This Row],[%-osuus 3]],0),0)</f>
        <v>46769</v>
      </c>
      <c r="S28" s="186">
        <f>IFERROR(ROUND(VLOOKUP($A28,'2.4 Aloittaneet palaute'!$A:$K,COLUMN('2.4 Aloittaneet palaute'!J:J),FALSE),1),0)</f>
        <v>462.2</v>
      </c>
      <c r="T28" s="20">
        <f>IFERROR(Ohj.lask.[[#This Row],[Painotetut pisteet 4]]/Ohj.lask.[[#Totals],[Painotetut pisteet 4]],0)</f>
        <v>2.8079264690203143E-4</v>
      </c>
      <c r="U28" s="23">
        <f>ROUND(IFERROR('1.1 Jakotaulu'!M$16*Ohj.lask.[[#This Row],[%-osuus 4]],0),0)</f>
        <v>3222</v>
      </c>
      <c r="V28" s="81">
        <f>IFERROR(ROUND(VLOOKUP($A28,'2.5 Päättäneet palaute'!$A:$AC,COLUMN('2.5 Päättäneet palaute'!AB:AB),FALSE),1),0)</f>
        <v>4490</v>
      </c>
      <c r="W28" s="20">
        <f>IFERROR(Ohj.lask.[[#This Row],[Painotetut pisteet 5]]/Ohj.lask.[[#Totals],[Painotetut pisteet 5]],0)</f>
        <v>5.2079568487021957E-4</v>
      </c>
      <c r="X28" s="17">
        <f>ROUND(IFERROR('1.1 Jakotaulu'!M$17*Ohj.lask.[[#This Row],[%-osuus 5]],0),0)</f>
        <v>17928</v>
      </c>
      <c r="Y28" s="19">
        <f>IFERROR(Ohj.lask.[[#This Row],[Jaettava € 6]]/Ohj.lask.[[#Totals],[Jaettava € 6]],"")</f>
        <v>5.3942562170910071E-4</v>
      </c>
      <c r="Z28" s="23">
        <f>IFERROR(Ohj.lask.[[#This Row],[Jaettava € 1]]+Ohj.lask.[[#This Row],[Jaettava € 2]]+Ohj.lask.[[#This Row],[Jaettava € 3]]+Ohj.lask.[[#This Row],[Jaettava € 4]]+Ohj.lask.[[#This Row],[Jaettava € 5]],"")</f>
        <v>976492</v>
      </c>
      <c r="AA28" s="17">
        <v>0</v>
      </c>
      <c r="AB28" s="17">
        <v>0</v>
      </c>
      <c r="AC28" s="18">
        <v>0</v>
      </c>
      <c r="AD28" s="17">
        <v>0</v>
      </c>
      <c r="AE28" s="18">
        <v>0</v>
      </c>
      <c r="AF28" s="17">
        <v>0</v>
      </c>
      <c r="AG28" s="18">
        <v>0</v>
      </c>
      <c r="AH28" s="17">
        <v>0</v>
      </c>
      <c r="AI28" s="18">
        <v>0</v>
      </c>
      <c r="AJ28" s="17">
        <v>0</v>
      </c>
      <c r="AK28" s="18">
        <v>0</v>
      </c>
      <c r="AL28" s="17">
        <v>0</v>
      </c>
      <c r="AM28" s="18">
        <v>0</v>
      </c>
      <c r="AN28" s="23">
        <v>0</v>
      </c>
      <c r="AO28" s="17">
        <v>0</v>
      </c>
      <c r="AP28" s="17">
        <v>0</v>
      </c>
      <c r="AQ28" s="18">
        <f>IFERROR(VLOOKUP(Ohj.lask.[[#This Row],[Y-tunnus]],#REF!,COLUMN(#REF!),FALSE),0)</f>
        <v>0</v>
      </c>
      <c r="AR28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28" s="17">
        <f>Ohj.lask.[[#This Row],[Jaettava € 1]]+Ohj.lask.[[#This Row],[Päätös, € 9]]</f>
        <v>628594</v>
      </c>
      <c r="AT28" s="113">
        <f>Ohj.lask.[[#This Row],[Jaettava € 2]]</f>
        <v>279979</v>
      </c>
      <c r="AU28" s="17">
        <f>Ohj.lask.[[#This Row],[Jaettava € 3]]+Ohj.lask.[[#This Row],[Jaettava € 4]]+Ohj.lask.[[#This Row],[Jaettava € 5]]</f>
        <v>67919</v>
      </c>
      <c r="AV28" s="42">
        <f>Ohj.lask.[[#This Row],[Jaettava € 6]]+Ohj.lask.[[#This Row],[Päätös, € 9]]</f>
        <v>976492</v>
      </c>
      <c r="AW28" s="42">
        <v>27791</v>
      </c>
      <c r="AX28" s="23">
        <f>Ohj.lask.[[#This Row],[Perus-, suoritus- ja vaikuttavuusrahoitus yhteensä, €]]+Ohj.lask.[[#This Row],[Alv-korvaus, €]]</f>
        <v>1004283</v>
      </c>
    </row>
    <row r="29" spans="1:50" ht="12.75" x14ac:dyDescent="0.2">
      <c r="A29" s="134" t="s">
        <v>365</v>
      </c>
      <c r="B29" s="14" t="s">
        <v>34</v>
      </c>
      <c r="C29" s="14" t="s">
        <v>216</v>
      </c>
      <c r="D29" s="14" t="s">
        <v>392</v>
      </c>
      <c r="E29" s="14" t="s">
        <v>438</v>
      </c>
      <c r="F29" s="117">
        <v>1890</v>
      </c>
      <c r="G29" s="124">
        <f>Ohj.lask.[[#This Row],[Tavoitteelliset opiskelija-vuodet]]-Ohj.lask.[[#This Row],[Järjestämisluvan opisk.vuosien vähimmäismäärä]]</f>
        <v>210</v>
      </c>
      <c r="H29" s="41">
        <v>2100</v>
      </c>
      <c r="I29" s="15">
        <f>IFERROR(VLOOKUP($A29,'2.1 Toteut. op.vuodet'!$A:$T,COLUMN('2.1 Toteut. op.vuodet'!T:T),FALSE),0)</f>
        <v>0.83986936887162567</v>
      </c>
      <c r="J29" s="81">
        <f t="shared" si="0"/>
        <v>1763.7</v>
      </c>
      <c r="K29" s="16">
        <f>IFERROR(Ohj.lask.[[#This Row],[Painotetut opiskelija-vuodet]]/Ohj.lask.[[#Totals],[Painotetut opiskelija-vuodet]],0)</f>
        <v>8.6130276132581184E-3</v>
      </c>
      <c r="L29" s="17">
        <f>ROUND(IFERROR('1.1 Jakotaulu'!L$11*Ohj.lask.[[#This Row],[%-osuus 1]],0),0)</f>
        <v>10847859</v>
      </c>
      <c r="M29" s="186">
        <f>IFERROR(ROUND(VLOOKUP($A29,'2.2 Tutk. ja osien pain. pist.'!$A:$Q,COLUMN('2.2 Tutk. ja osien pain. pist.'!P:P),FALSE),1),0)</f>
        <v>141596</v>
      </c>
      <c r="N29" s="16">
        <f>IFERROR(Ohj.lask.[[#This Row],[Painotetut pisteet 2]]/Ohj.lask.[[#Totals],[Painotetut pisteet 2]],0)</f>
        <v>9.08990518126521E-3</v>
      </c>
      <c r="O29" s="23">
        <f>ROUND(IFERROR('1.1 Jakotaulu'!K$12*Ohj.lask.[[#This Row],[%-osuus 2]],0),0)</f>
        <v>3337650</v>
      </c>
      <c r="P29" s="187">
        <f>IFERROR(ROUND(VLOOKUP($A29,'2.3 Työll. ja jatko-opisk.'!$A:$K,COLUMN('2.3 Työll. ja jatko-opisk.'!I:I),FALSE),1),0)</f>
        <v>2527.4</v>
      </c>
      <c r="Q29" s="16">
        <f>IFERROR(Ohj.lask.[[#This Row],[Painotetut pisteet 3]]/Ohj.lask.[[#Totals],[Painotetut pisteet 3]],0)</f>
        <v>1.2699041165614615E-2</v>
      </c>
      <c r="R29" s="17">
        <f>ROUND(IFERROR('1.1 Jakotaulu'!L$14*Ohj.lask.[[#This Row],[%-osuus 3]],0),0)</f>
        <v>1748572</v>
      </c>
      <c r="S29" s="186">
        <f>IFERROR(ROUND(VLOOKUP($A29,'2.4 Aloittaneet palaute'!$A:$K,COLUMN('2.4 Aloittaneet palaute'!J:J),FALSE),1),0)</f>
        <v>18633.3</v>
      </c>
      <c r="T29" s="20">
        <f>IFERROR(Ohj.lask.[[#This Row],[Painotetut pisteet 4]]/Ohj.lask.[[#Totals],[Painotetut pisteet 4]],0)</f>
        <v>1.1319977558458724E-2</v>
      </c>
      <c r="U29" s="23">
        <f>ROUND(IFERROR('1.1 Jakotaulu'!M$16*Ohj.lask.[[#This Row],[%-osuus 4]],0),0)</f>
        <v>129890</v>
      </c>
      <c r="V29" s="81">
        <f>IFERROR(ROUND(VLOOKUP($A29,'2.5 Päättäneet palaute'!$A:$AC,COLUMN('2.5 Päättäneet palaute'!AB:AB),FALSE),1),0)</f>
        <v>134272.5</v>
      </c>
      <c r="W29" s="20">
        <f>IFERROR(Ohj.lask.[[#This Row],[Painotetut pisteet 5]]/Ohj.lask.[[#Totals],[Painotetut pisteet 5]],0)</f>
        <v>1.5574284765420171E-2</v>
      </c>
      <c r="X29" s="17">
        <f>ROUND(IFERROR('1.1 Jakotaulu'!M$17*Ohj.lask.[[#This Row],[%-osuus 5]],0),0)</f>
        <v>536118</v>
      </c>
      <c r="Y29" s="19">
        <f>IFERROR(Ohj.lask.[[#This Row],[Jaettava € 6]]/Ohj.lask.[[#Totals],[Jaettava € 6]],"")</f>
        <v>9.1700836558327205E-3</v>
      </c>
      <c r="Z29" s="23">
        <f>IFERROR(Ohj.lask.[[#This Row],[Jaettava € 1]]+Ohj.lask.[[#This Row],[Jaettava € 2]]+Ohj.lask.[[#This Row],[Jaettava € 3]]+Ohj.lask.[[#This Row],[Jaettava € 4]]+Ohj.lask.[[#This Row],[Jaettava € 5]],"")</f>
        <v>16600089</v>
      </c>
      <c r="AA29" s="17">
        <v>0</v>
      </c>
      <c r="AB29" s="17">
        <v>0</v>
      </c>
      <c r="AC29" s="18">
        <v>0</v>
      </c>
      <c r="AD29" s="17">
        <v>0</v>
      </c>
      <c r="AE29" s="18">
        <v>0</v>
      </c>
      <c r="AF29" s="17">
        <v>0</v>
      </c>
      <c r="AG29" s="18">
        <v>0</v>
      </c>
      <c r="AH29" s="17">
        <v>0</v>
      </c>
      <c r="AI29" s="18">
        <v>0</v>
      </c>
      <c r="AJ29" s="17">
        <v>0</v>
      </c>
      <c r="AK29" s="18">
        <v>500000</v>
      </c>
      <c r="AL29" s="17">
        <v>0</v>
      </c>
      <c r="AM29" s="18">
        <v>60000</v>
      </c>
      <c r="AN29" s="23">
        <v>60000</v>
      </c>
      <c r="AO29" s="17">
        <v>0</v>
      </c>
      <c r="AP29" s="17">
        <v>0</v>
      </c>
      <c r="AQ29" s="18">
        <f>IFERROR(VLOOKUP(Ohj.lask.[[#This Row],[Y-tunnus]],#REF!,COLUMN(#REF!),FALSE),0)</f>
        <v>0</v>
      </c>
      <c r="AR29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60000</v>
      </c>
      <c r="AS29" s="17">
        <f>Ohj.lask.[[#This Row],[Jaettava € 1]]+Ohj.lask.[[#This Row],[Päätös, € 9]]</f>
        <v>10907859</v>
      </c>
      <c r="AT29" s="113">
        <f>Ohj.lask.[[#This Row],[Jaettava € 2]]</f>
        <v>3337650</v>
      </c>
      <c r="AU29" s="17">
        <f>Ohj.lask.[[#This Row],[Jaettava € 3]]+Ohj.lask.[[#This Row],[Jaettava € 4]]+Ohj.lask.[[#This Row],[Jaettava € 5]]</f>
        <v>2414580</v>
      </c>
      <c r="AV29" s="42">
        <f>Ohj.lask.[[#This Row],[Jaettava € 6]]+Ohj.lask.[[#This Row],[Päätös, € 9]]</f>
        <v>16660089</v>
      </c>
      <c r="AW29" s="42">
        <v>1272083</v>
      </c>
      <c r="AX29" s="23">
        <f>Ohj.lask.[[#This Row],[Perus-, suoritus- ja vaikuttavuusrahoitus yhteensä, €]]+Ohj.lask.[[#This Row],[Alv-korvaus, €]]</f>
        <v>17932172</v>
      </c>
    </row>
    <row r="30" spans="1:50" ht="12.75" x14ac:dyDescent="0.2">
      <c r="A30" s="134" t="s">
        <v>364</v>
      </c>
      <c r="B30" s="14" t="s">
        <v>35</v>
      </c>
      <c r="C30" s="14" t="s">
        <v>216</v>
      </c>
      <c r="D30" s="14" t="s">
        <v>392</v>
      </c>
      <c r="E30" s="14" t="s">
        <v>438</v>
      </c>
      <c r="F30" s="117">
        <v>1462</v>
      </c>
      <c r="G30" s="124">
        <f>Ohj.lask.[[#This Row],[Tavoitteelliset opiskelija-vuodet]]-Ohj.lask.[[#This Row],[Järjestämisluvan opisk.vuosien vähimmäismäärä]]</f>
        <v>112</v>
      </c>
      <c r="H30" s="41">
        <v>1574</v>
      </c>
      <c r="I30" s="15">
        <f>IFERROR(VLOOKUP($A30,'2.1 Toteut. op.vuodet'!$A:$T,COLUMN('2.1 Toteut. op.vuodet'!T:T),FALSE),0)</f>
        <v>4.8647675775975863</v>
      </c>
      <c r="J30" s="81">
        <f t="shared" si="0"/>
        <v>7657.1</v>
      </c>
      <c r="K30" s="16">
        <f>IFERROR(Ohj.lask.[[#This Row],[Painotetut opiskelija-vuodet]]/Ohj.lask.[[#Totals],[Painotetut opiskelija-vuodet]],0)</f>
        <v>3.7393442046537814E-2</v>
      </c>
      <c r="L30" s="17">
        <f>ROUND(IFERROR('1.1 Jakotaulu'!L$11*Ohj.lask.[[#This Row],[%-osuus 1]],0),0)</f>
        <v>47095956</v>
      </c>
      <c r="M30" s="186">
        <f>IFERROR(ROUND(VLOOKUP($A30,'2.2 Tutk. ja osien pain. pist.'!$A:$Q,COLUMN('2.2 Tutk. ja osien pain. pist.'!P:P),FALSE),1),0)</f>
        <v>344288.7</v>
      </c>
      <c r="N30" s="16">
        <f>IFERROR(Ohj.lask.[[#This Row],[Painotetut pisteet 2]]/Ohj.lask.[[#Totals],[Painotetut pisteet 2]],0)</f>
        <v>2.2101977725225735E-2</v>
      </c>
      <c r="O30" s="23">
        <f>ROUND(IFERROR('1.1 Jakotaulu'!K$12*Ohj.lask.[[#This Row],[%-osuus 2]],0),0)</f>
        <v>8115448</v>
      </c>
      <c r="P30" s="187">
        <f>IFERROR(ROUND(VLOOKUP($A30,'2.3 Työll. ja jatko-opisk.'!$A:$K,COLUMN('2.3 Työll. ja jatko-opisk.'!I:I),FALSE),1),0)</f>
        <v>893</v>
      </c>
      <c r="Q30" s="16">
        <f>IFERROR(Ohj.lask.[[#This Row],[Painotetut pisteet 3]]/Ohj.lask.[[#Totals],[Painotetut pisteet 3]],0)</f>
        <v>4.4869208518215761E-3</v>
      </c>
      <c r="R30" s="17">
        <f>ROUND(IFERROR('1.1 Jakotaulu'!L$14*Ohj.lask.[[#This Row],[%-osuus 3]],0),0)</f>
        <v>617819</v>
      </c>
      <c r="S30" s="186">
        <f>IFERROR(ROUND(VLOOKUP($A30,'2.4 Aloittaneet palaute'!$A:$K,COLUMN('2.4 Aloittaneet palaute'!J:J),FALSE),1),0)</f>
        <v>10464.799999999999</v>
      </c>
      <c r="T30" s="20">
        <f>IFERROR(Ohj.lask.[[#This Row],[Painotetut pisteet 4]]/Ohj.lask.[[#Totals],[Painotetut pisteet 4]],0)</f>
        <v>6.3575051737351333E-3</v>
      </c>
      <c r="U30" s="23">
        <f>ROUND(IFERROR('1.1 Jakotaulu'!M$16*Ohj.lask.[[#This Row],[%-osuus 4]],0),0)</f>
        <v>72949</v>
      </c>
      <c r="V30" s="81">
        <f>IFERROR(ROUND(VLOOKUP($A30,'2.5 Päättäneet palaute'!$A:$AC,COLUMN('2.5 Päättäneet palaute'!AB:AB),FALSE),1),0)</f>
        <v>49790.9</v>
      </c>
      <c r="W30" s="20">
        <f>IFERROR(Ohj.lask.[[#This Row],[Painotetut pisteet 5]]/Ohj.lask.[[#Totals],[Painotetut pisteet 5]],0)</f>
        <v>5.7752529767939017E-3</v>
      </c>
      <c r="X30" s="17">
        <f>ROUND(IFERROR('1.1 Jakotaulu'!M$17*Ohj.lask.[[#This Row],[%-osuus 5]],0),0)</f>
        <v>198803</v>
      </c>
      <c r="Y30" s="19">
        <f>IFERROR(Ohj.lask.[[#This Row],[Jaettava € 6]]/Ohj.lask.[[#Totals],[Jaettava € 6]],"")</f>
        <v>3.0990835887914819E-2</v>
      </c>
      <c r="Z30" s="23">
        <f>IFERROR(Ohj.lask.[[#This Row],[Jaettava € 1]]+Ohj.lask.[[#This Row],[Jaettava € 2]]+Ohj.lask.[[#This Row],[Jaettava € 3]]+Ohj.lask.[[#This Row],[Jaettava € 4]]+Ohj.lask.[[#This Row],[Jaettava € 5]],"")</f>
        <v>56100975</v>
      </c>
      <c r="AA30" s="17">
        <v>0</v>
      </c>
      <c r="AB30" s="17">
        <v>0</v>
      </c>
      <c r="AC30" s="18">
        <v>0</v>
      </c>
      <c r="AD30" s="17">
        <v>0</v>
      </c>
      <c r="AE30" s="18">
        <v>0</v>
      </c>
      <c r="AF30" s="17">
        <v>0</v>
      </c>
      <c r="AG30" s="18">
        <v>0</v>
      </c>
      <c r="AH30" s="17">
        <v>0</v>
      </c>
      <c r="AI30" s="18">
        <v>0</v>
      </c>
      <c r="AJ30" s="17">
        <v>0</v>
      </c>
      <c r="AK30" s="18">
        <v>0</v>
      </c>
      <c r="AL30" s="17">
        <v>0</v>
      </c>
      <c r="AM30" s="18">
        <v>0</v>
      </c>
      <c r="AN30" s="23">
        <v>0</v>
      </c>
      <c r="AO30" s="17">
        <v>0</v>
      </c>
      <c r="AP30" s="17">
        <v>0</v>
      </c>
      <c r="AQ30" s="18">
        <f>IFERROR(VLOOKUP(Ohj.lask.[[#This Row],[Y-tunnus]],#REF!,COLUMN(#REF!),FALSE),0)</f>
        <v>0</v>
      </c>
      <c r="AR30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30" s="17">
        <f>Ohj.lask.[[#This Row],[Jaettava € 1]]+Ohj.lask.[[#This Row],[Päätös, € 9]]</f>
        <v>47095956</v>
      </c>
      <c r="AT30" s="113">
        <f>Ohj.lask.[[#This Row],[Jaettava € 2]]</f>
        <v>8115448</v>
      </c>
      <c r="AU30" s="17">
        <f>Ohj.lask.[[#This Row],[Jaettava € 3]]+Ohj.lask.[[#This Row],[Jaettava € 4]]+Ohj.lask.[[#This Row],[Jaettava € 5]]</f>
        <v>889571</v>
      </c>
      <c r="AV30" s="42">
        <f>Ohj.lask.[[#This Row],[Jaettava € 6]]+Ohj.lask.[[#This Row],[Päätös, € 9]]</f>
        <v>56100975</v>
      </c>
      <c r="AW30" s="42">
        <v>2204076</v>
      </c>
      <c r="AX30" s="23">
        <f>Ohj.lask.[[#This Row],[Perus-, suoritus- ja vaikuttavuusrahoitus yhteensä, €]]+Ohj.lask.[[#This Row],[Alv-korvaus, €]]</f>
        <v>58305051</v>
      </c>
    </row>
    <row r="31" spans="1:50" ht="12.75" x14ac:dyDescent="0.2">
      <c r="A31" s="134" t="s">
        <v>363</v>
      </c>
      <c r="B31" s="14" t="s">
        <v>36</v>
      </c>
      <c r="C31" s="14" t="s">
        <v>312</v>
      </c>
      <c r="D31" s="14" t="s">
        <v>392</v>
      </c>
      <c r="E31" s="14" t="s">
        <v>438</v>
      </c>
      <c r="F31" s="117">
        <v>310</v>
      </c>
      <c r="G31" s="124">
        <f>Ohj.lask.[[#This Row],[Tavoitteelliset opiskelija-vuodet]]-Ohj.lask.[[#This Row],[Järjestämisluvan opisk.vuosien vähimmäismäärä]]</f>
        <v>12</v>
      </c>
      <c r="H31" s="41">
        <v>322</v>
      </c>
      <c r="I31" s="15">
        <f>IFERROR(VLOOKUP($A31,'2.1 Toteut. op.vuodet'!$A:$T,COLUMN('2.1 Toteut. op.vuodet'!T:T),FALSE),0)</f>
        <v>1.5449775942699349</v>
      </c>
      <c r="J31" s="81">
        <f t="shared" si="0"/>
        <v>497.5</v>
      </c>
      <c r="K31" s="16">
        <f>IFERROR(Ohj.lask.[[#This Row],[Painotetut opiskelija-vuodet]]/Ohj.lask.[[#Totals],[Painotetut opiskelija-vuodet]],0)</f>
        <v>2.4295408729352579E-3</v>
      </c>
      <c r="L31" s="17">
        <f>ROUND(IFERROR('1.1 Jakotaulu'!L$11*Ohj.lask.[[#This Row],[%-osuus 1]],0),0)</f>
        <v>3059936</v>
      </c>
      <c r="M31" s="186">
        <f>IFERROR(ROUND(VLOOKUP($A31,'2.2 Tutk. ja osien pain. pist.'!$A:$Q,COLUMN('2.2 Tutk. ja osien pain. pist.'!P:P),FALSE),1),0)</f>
        <v>31960</v>
      </c>
      <c r="N31" s="16">
        <f>IFERROR(Ohj.lask.[[#This Row],[Painotetut pisteet 2]]/Ohj.lask.[[#Totals],[Painotetut pisteet 2]],0)</f>
        <v>2.0517060481456827E-3</v>
      </c>
      <c r="O31" s="23">
        <f>ROUND(IFERROR('1.1 Jakotaulu'!K$12*Ohj.lask.[[#This Row],[%-osuus 2]],0),0)</f>
        <v>753350</v>
      </c>
      <c r="P31" s="187">
        <f>IFERROR(ROUND(VLOOKUP($A31,'2.3 Työll. ja jatko-opisk.'!$A:$K,COLUMN('2.3 Työll. ja jatko-opisk.'!I:I),FALSE),1),0)</f>
        <v>344.2</v>
      </c>
      <c r="Q31" s="16">
        <f>IFERROR(Ohj.lask.[[#This Row],[Painotetut pisteet 3]]/Ohj.lask.[[#Totals],[Painotetut pisteet 3]],0)</f>
        <v>1.7294492241847551E-3</v>
      </c>
      <c r="R31" s="17">
        <f>ROUND(IFERROR('1.1 Jakotaulu'!L$14*Ohj.lask.[[#This Row],[%-osuus 3]],0),0)</f>
        <v>238133</v>
      </c>
      <c r="S31" s="186">
        <f>IFERROR(ROUND(VLOOKUP($A31,'2.4 Aloittaneet palaute'!$A:$K,COLUMN('2.4 Aloittaneet palaute'!J:J),FALSE),1),0)</f>
        <v>2410.6999999999998</v>
      </c>
      <c r="T31" s="20">
        <f>IFERROR(Ohj.lask.[[#This Row],[Painotetut pisteet 4]]/Ohj.lask.[[#Totals],[Painotetut pisteet 4]],0)</f>
        <v>1.4645323104429406E-3</v>
      </c>
      <c r="U31" s="23">
        <f>ROUND(IFERROR('1.1 Jakotaulu'!M$16*Ohj.lask.[[#This Row],[%-osuus 4]],0),0)</f>
        <v>16805</v>
      </c>
      <c r="V31" s="81">
        <f>IFERROR(ROUND(VLOOKUP($A31,'2.5 Päättäneet palaute'!$A:$AC,COLUMN('2.5 Päättäneet palaute'!AB:AB),FALSE),1),0)</f>
        <v>17636.400000000001</v>
      </c>
      <c r="W31" s="20">
        <f>IFERROR(Ohj.lask.[[#This Row],[Painotetut pisteet 5]]/Ohj.lask.[[#Totals],[Painotetut pisteet 5]],0)</f>
        <v>2.0456483333285394E-3</v>
      </c>
      <c r="X31" s="17">
        <f>ROUND(IFERROR('1.1 Jakotaulu'!M$17*Ohj.lask.[[#This Row],[%-osuus 5]],0),0)</f>
        <v>70418</v>
      </c>
      <c r="Y31" s="19">
        <f>IFERROR(Ohj.lask.[[#This Row],[Jaettava € 6]]/Ohj.lask.[[#Totals],[Jaettava € 6]],"")</f>
        <v>2.286234330523339E-3</v>
      </c>
      <c r="Z31" s="23">
        <f>IFERROR(Ohj.lask.[[#This Row],[Jaettava € 1]]+Ohj.lask.[[#This Row],[Jaettava € 2]]+Ohj.lask.[[#This Row],[Jaettava € 3]]+Ohj.lask.[[#This Row],[Jaettava € 4]]+Ohj.lask.[[#This Row],[Jaettava € 5]],"")</f>
        <v>4138642</v>
      </c>
      <c r="AA31" s="17">
        <v>0</v>
      </c>
      <c r="AB31" s="17">
        <v>0</v>
      </c>
      <c r="AC31" s="18">
        <v>0</v>
      </c>
      <c r="AD31" s="17">
        <v>0</v>
      </c>
      <c r="AE31" s="18">
        <v>0</v>
      </c>
      <c r="AF31" s="17">
        <v>0</v>
      </c>
      <c r="AG31" s="18">
        <v>45000</v>
      </c>
      <c r="AH31" s="17">
        <v>0</v>
      </c>
      <c r="AI31" s="18">
        <v>0</v>
      </c>
      <c r="AJ31" s="17">
        <v>0</v>
      </c>
      <c r="AK31" s="18">
        <v>0</v>
      </c>
      <c r="AL31" s="17">
        <v>0</v>
      </c>
      <c r="AM31" s="18">
        <v>150000</v>
      </c>
      <c r="AN31" s="23">
        <v>30000</v>
      </c>
      <c r="AO31" s="17">
        <v>0</v>
      </c>
      <c r="AP31" s="17">
        <v>0</v>
      </c>
      <c r="AQ31" s="18">
        <f>IFERROR(VLOOKUP(Ohj.lask.[[#This Row],[Y-tunnus]],#REF!,COLUMN(#REF!),FALSE),0)</f>
        <v>0</v>
      </c>
      <c r="AR31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30000</v>
      </c>
      <c r="AS31" s="17">
        <f>Ohj.lask.[[#This Row],[Jaettava € 1]]+Ohj.lask.[[#This Row],[Päätös, € 9]]</f>
        <v>3089936</v>
      </c>
      <c r="AT31" s="113">
        <f>Ohj.lask.[[#This Row],[Jaettava € 2]]</f>
        <v>753350</v>
      </c>
      <c r="AU31" s="17">
        <f>Ohj.lask.[[#This Row],[Jaettava € 3]]+Ohj.lask.[[#This Row],[Jaettava € 4]]+Ohj.lask.[[#This Row],[Jaettava € 5]]</f>
        <v>325356</v>
      </c>
      <c r="AV31" s="42">
        <f>Ohj.lask.[[#This Row],[Jaettava € 6]]+Ohj.lask.[[#This Row],[Päätös, € 9]]</f>
        <v>4168642</v>
      </c>
      <c r="AW31" s="42">
        <v>432649</v>
      </c>
      <c r="AX31" s="23">
        <f>Ohj.lask.[[#This Row],[Perus-, suoritus- ja vaikuttavuusrahoitus yhteensä, €]]+Ohj.lask.[[#This Row],[Alv-korvaus, €]]</f>
        <v>4601291</v>
      </c>
    </row>
    <row r="32" spans="1:50" ht="12.75" x14ac:dyDescent="0.2">
      <c r="A32" s="134" t="s">
        <v>360</v>
      </c>
      <c r="B32" s="14" t="s">
        <v>37</v>
      </c>
      <c r="C32" s="14" t="s">
        <v>216</v>
      </c>
      <c r="D32" s="14" t="s">
        <v>392</v>
      </c>
      <c r="E32" s="14" t="s">
        <v>438</v>
      </c>
      <c r="F32" s="117">
        <v>3141</v>
      </c>
      <c r="G32" s="124">
        <f>Ohj.lask.[[#This Row],[Tavoitteelliset opiskelija-vuodet]]-Ohj.lask.[[#This Row],[Järjestämisluvan opisk.vuosien vähimmäismäärä]]</f>
        <v>365</v>
      </c>
      <c r="H32" s="41">
        <v>3506</v>
      </c>
      <c r="I32" s="15">
        <f>IFERROR(VLOOKUP($A32,'2.1 Toteut. op.vuodet'!$A:$T,COLUMN('2.1 Toteut. op.vuodet'!T:T),FALSE),0)</f>
        <v>1.0571881579517095</v>
      </c>
      <c r="J32" s="81">
        <f t="shared" si="0"/>
        <v>3706.5</v>
      </c>
      <c r="K32" s="16">
        <f>IFERROR(Ohj.lask.[[#This Row],[Painotetut opiskelija-vuodet]]/Ohj.lask.[[#Totals],[Painotetut opiskelija-vuodet]],0)</f>
        <v>1.8100689940772931E-2</v>
      </c>
      <c r="L32" s="17">
        <f>ROUND(IFERROR('1.1 Jakotaulu'!L$11*Ohj.lask.[[#This Row],[%-osuus 1]],0),0)</f>
        <v>22797294</v>
      </c>
      <c r="M32" s="186">
        <f>IFERROR(ROUND(VLOOKUP($A32,'2.2 Tutk. ja osien pain. pist.'!$A:$Q,COLUMN('2.2 Tutk. ja osien pain. pist.'!P:P),FALSE),1),0)</f>
        <v>288405.7</v>
      </c>
      <c r="N32" s="16">
        <f>IFERROR(Ohj.lask.[[#This Row],[Painotetut pisteet 2]]/Ohj.lask.[[#Totals],[Painotetut pisteet 2]],0)</f>
        <v>1.8514509355747475E-2</v>
      </c>
      <c r="O32" s="23">
        <f>ROUND(IFERROR('1.1 Jakotaulu'!K$12*Ohj.lask.[[#This Row],[%-osuus 2]],0),0)</f>
        <v>6798195</v>
      </c>
      <c r="P32" s="187">
        <f>IFERROR(ROUND(VLOOKUP($A32,'2.3 Työll. ja jatko-opisk.'!$A:$K,COLUMN('2.3 Työll. ja jatko-opisk.'!I:I),FALSE),1),0)</f>
        <v>3935.9</v>
      </c>
      <c r="Q32" s="16">
        <f>IFERROR(Ohj.lask.[[#This Row],[Painotetut pisteet 3]]/Ohj.lask.[[#Totals],[Painotetut pisteet 3]],0)</f>
        <v>1.977611621577216E-2</v>
      </c>
      <c r="R32" s="17">
        <f>ROUND(IFERROR('1.1 Jakotaulu'!L$14*Ohj.lask.[[#This Row],[%-osuus 3]],0),0)</f>
        <v>2723038</v>
      </c>
      <c r="S32" s="186">
        <f>IFERROR(ROUND(VLOOKUP($A32,'2.4 Aloittaneet palaute'!$A:$K,COLUMN('2.4 Aloittaneet palaute'!J:J),FALSE),1),0)</f>
        <v>48199.8</v>
      </c>
      <c r="T32" s="20">
        <f>IFERROR(Ohj.lask.[[#This Row],[Painotetut pisteet 4]]/Ohj.lask.[[#Totals],[Painotetut pisteet 4]],0)</f>
        <v>2.9282019520009816E-2</v>
      </c>
      <c r="U32" s="23">
        <f>ROUND(IFERROR('1.1 Jakotaulu'!M$16*Ohj.lask.[[#This Row],[%-osuus 4]],0),0)</f>
        <v>335995</v>
      </c>
      <c r="V32" s="81">
        <f>IFERROR(ROUND(VLOOKUP($A32,'2.5 Päättäneet palaute'!$A:$AC,COLUMN('2.5 Päättäneet palaute'!AB:AB),FALSE),1),0)</f>
        <v>200582</v>
      </c>
      <c r="W32" s="20">
        <f>IFERROR(Ohj.lask.[[#This Row],[Painotetut pisteet 5]]/Ohj.lask.[[#Totals],[Painotetut pisteet 5]],0)</f>
        <v>2.3265532307937282E-2</v>
      </c>
      <c r="X32" s="17">
        <f>ROUND(IFERROR('1.1 Jakotaulu'!M$17*Ohj.lask.[[#This Row],[%-osuus 5]],0),0)</f>
        <v>800877</v>
      </c>
      <c r="Y32" s="19">
        <f>IFERROR(Ohj.lask.[[#This Row],[Jaettava € 6]]/Ohj.lask.[[#Totals],[Jaettava € 6]],"")</f>
        <v>1.8481154382320623E-2</v>
      </c>
      <c r="Z32" s="23">
        <f>IFERROR(Ohj.lask.[[#This Row],[Jaettava € 1]]+Ohj.lask.[[#This Row],[Jaettava € 2]]+Ohj.lask.[[#This Row],[Jaettava € 3]]+Ohj.lask.[[#This Row],[Jaettava € 4]]+Ohj.lask.[[#This Row],[Jaettava € 5]],"")</f>
        <v>33455399</v>
      </c>
      <c r="AA32" s="17">
        <v>0</v>
      </c>
      <c r="AB32" s="17">
        <v>0</v>
      </c>
      <c r="AC32" s="18">
        <v>0</v>
      </c>
      <c r="AD32" s="17">
        <v>0</v>
      </c>
      <c r="AE32" s="18">
        <v>0</v>
      </c>
      <c r="AF32" s="17">
        <v>0</v>
      </c>
      <c r="AG32" s="18">
        <v>0</v>
      </c>
      <c r="AH32" s="17">
        <v>0</v>
      </c>
      <c r="AI32" s="18">
        <v>320000</v>
      </c>
      <c r="AJ32" s="17">
        <v>0</v>
      </c>
      <c r="AK32" s="18">
        <v>0</v>
      </c>
      <c r="AL32" s="17">
        <v>0</v>
      </c>
      <c r="AM32" s="18">
        <v>0</v>
      </c>
      <c r="AN32" s="23">
        <v>0</v>
      </c>
      <c r="AO32" s="17">
        <v>30000</v>
      </c>
      <c r="AP32" s="17">
        <v>0</v>
      </c>
      <c r="AQ32" s="18">
        <f>IFERROR(VLOOKUP(Ohj.lask.[[#This Row],[Y-tunnus]],#REF!,COLUMN(#REF!),FALSE),0)</f>
        <v>0</v>
      </c>
      <c r="AR32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32" s="17">
        <f>Ohj.lask.[[#This Row],[Jaettava € 1]]+Ohj.lask.[[#This Row],[Päätös, € 9]]</f>
        <v>22797294</v>
      </c>
      <c r="AT32" s="113">
        <f>Ohj.lask.[[#This Row],[Jaettava € 2]]</f>
        <v>6798195</v>
      </c>
      <c r="AU32" s="17">
        <f>Ohj.lask.[[#This Row],[Jaettava € 3]]+Ohj.lask.[[#This Row],[Jaettava € 4]]+Ohj.lask.[[#This Row],[Jaettava € 5]]</f>
        <v>3859910</v>
      </c>
      <c r="AV32" s="42">
        <f>Ohj.lask.[[#This Row],[Jaettava € 6]]+Ohj.lask.[[#This Row],[Päätös, € 9]]</f>
        <v>33455399</v>
      </c>
      <c r="AW32" s="42">
        <v>2377050</v>
      </c>
      <c r="AX32" s="23">
        <f>Ohj.lask.[[#This Row],[Perus-, suoritus- ja vaikuttavuusrahoitus yhteensä, €]]+Ohj.lask.[[#This Row],[Alv-korvaus, €]]</f>
        <v>35832449</v>
      </c>
    </row>
    <row r="33" spans="1:50" ht="12.75" x14ac:dyDescent="0.2">
      <c r="A33" s="134" t="s">
        <v>359</v>
      </c>
      <c r="B33" s="14" t="s">
        <v>38</v>
      </c>
      <c r="C33" s="14" t="s">
        <v>312</v>
      </c>
      <c r="D33" s="14" t="s">
        <v>392</v>
      </c>
      <c r="E33" s="14" t="s">
        <v>438</v>
      </c>
      <c r="F33" s="117">
        <v>456</v>
      </c>
      <c r="G33" s="124">
        <f>Ohj.lask.[[#This Row],[Tavoitteelliset opiskelija-vuodet]]-Ohj.lask.[[#This Row],[Järjestämisluvan opisk.vuosien vähimmäismäärä]]</f>
        <v>48</v>
      </c>
      <c r="H33" s="41">
        <v>504</v>
      </c>
      <c r="I33" s="15">
        <f>IFERROR(VLOOKUP($A33,'2.1 Toteut. op.vuodet'!$A:$T,COLUMN('2.1 Toteut. op.vuodet'!T:T),FALSE),0)</f>
        <v>1.2945929156354719</v>
      </c>
      <c r="J33" s="81">
        <f t="shared" si="0"/>
        <v>652.5</v>
      </c>
      <c r="K33" s="16">
        <f>IFERROR(Ohj.lask.[[#This Row],[Painotetut opiskelija-vuodet]]/Ohj.lask.[[#Totals],[Painotetut opiskelija-vuodet]],0)</f>
        <v>3.1864832554578002E-3</v>
      </c>
      <c r="L33" s="17">
        <f>ROUND(IFERROR('1.1 Jakotaulu'!L$11*Ohj.lask.[[#This Row],[%-osuus 1]],0),0)</f>
        <v>4013283</v>
      </c>
      <c r="M33" s="186">
        <f>IFERROR(ROUND(VLOOKUP($A33,'2.2 Tutk. ja osien pain. pist.'!$A:$Q,COLUMN('2.2 Tutk. ja osien pain. pist.'!P:P),FALSE),1),0)</f>
        <v>57076.9</v>
      </c>
      <c r="N33" s="16">
        <f>IFERROR(Ohj.lask.[[#This Row],[Painotetut pisteet 2]]/Ohj.lask.[[#Totals],[Painotetut pisteet 2]],0)</f>
        <v>3.6641120444119626E-3</v>
      </c>
      <c r="O33" s="23">
        <f>ROUND(IFERROR('1.1 Jakotaulu'!K$12*Ohj.lask.[[#This Row],[%-osuus 2]],0),0)</f>
        <v>1345396</v>
      </c>
      <c r="P33" s="187">
        <f>IFERROR(ROUND(VLOOKUP($A33,'2.3 Työll. ja jatko-opisk.'!$A:$K,COLUMN('2.3 Työll. ja jatko-opisk.'!I:I),FALSE),1),0)</f>
        <v>549.6</v>
      </c>
      <c r="Q33" s="16">
        <f>IFERROR(Ohj.lask.[[#This Row],[Painotetut pisteet 3]]/Ohj.lask.[[#Totals],[Painotetut pisteet 3]],0)</f>
        <v>2.7614912655779824E-3</v>
      </c>
      <c r="R33" s="17">
        <f>ROUND(IFERROR('1.1 Jakotaulu'!L$14*Ohj.lask.[[#This Row],[%-osuus 3]],0),0)</f>
        <v>380239</v>
      </c>
      <c r="S33" s="186">
        <f>IFERROR(ROUND(VLOOKUP($A33,'2.4 Aloittaneet palaute'!$A:$K,COLUMN('2.4 Aloittaneet palaute'!J:J),FALSE),1),0)</f>
        <v>5249.4</v>
      </c>
      <c r="T33" s="20">
        <f>IFERROR(Ohj.lask.[[#This Row],[Painotetut pisteet 4]]/Ohj.lask.[[#Totals],[Painotetut pisteet 4]],0)</f>
        <v>3.1890803129544002E-3</v>
      </c>
      <c r="U33" s="23">
        <f>ROUND(IFERROR('1.1 Jakotaulu'!M$16*Ohj.lask.[[#This Row],[%-osuus 4]],0),0)</f>
        <v>36593</v>
      </c>
      <c r="V33" s="81">
        <f>IFERROR(ROUND(VLOOKUP($A33,'2.5 Päättäneet palaute'!$A:$AC,COLUMN('2.5 Päättäneet palaute'!AB:AB),FALSE),1),0)</f>
        <v>33600.699999999997</v>
      </c>
      <c r="W33" s="20">
        <f>IFERROR(Ohj.lask.[[#This Row],[Painotetut pisteet 5]]/Ohj.lask.[[#Totals],[Painotetut pisteet 5]],0)</f>
        <v>3.8973495698482823E-3</v>
      </c>
      <c r="X33" s="17">
        <f>ROUND(IFERROR('1.1 Jakotaulu'!M$17*Ohj.lask.[[#This Row],[%-osuus 5]],0),0)</f>
        <v>134160</v>
      </c>
      <c r="Y33" s="19">
        <f>IFERROR(Ohj.lask.[[#This Row],[Jaettava € 6]]/Ohj.lask.[[#Totals],[Jaettava € 6]],"")</f>
        <v>3.264571500095488E-3</v>
      </c>
      <c r="Z33" s="23">
        <f>IFERROR(Ohj.lask.[[#This Row],[Jaettava € 1]]+Ohj.lask.[[#This Row],[Jaettava € 2]]+Ohj.lask.[[#This Row],[Jaettava € 3]]+Ohj.lask.[[#This Row],[Jaettava € 4]]+Ohj.lask.[[#This Row],[Jaettava € 5]],"")</f>
        <v>5909671</v>
      </c>
      <c r="AA33" s="17">
        <v>0</v>
      </c>
      <c r="AB33" s="17">
        <v>0</v>
      </c>
      <c r="AC33" s="18">
        <v>240000</v>
      </c>
      <c r="AD33" s="17">
        <v>0</v>
      </c>
      <c r="AE33" s="18">
        <v>0</v>
      </c>
      <c r="AF33" s="17">
        <v>0</v>
      </c>
      <c r="AG33" s="18">
        <v>0</v>
      </c>
      <c r="AH33" s="17">
        <v>0</v>
      </c>
      <c r="AI33" s="18">
        <v>0</v>
      </c>
      <c r="AJ33" s="17">
        <v>0</v>
      </c>
      <c r="AK33" s="18">
        <v>0</v>
      </c>
      <c r="AL33" s="17">
        <v>0</v>
      </c>
      <c r="AM33" s="18">
        <v>80000</v>
      </c>
      <c r="AN33" s="23">
        <v>60000</v>
      </c>
      <c r="AO33" s="17">
        <v>0</v>
      </c>
      <c r="AP33" s="17">
        <v>0</v>
      </c>
      <c r="AQ33" s="18">
        <f>IFERROR(VLOOKUP(Ohj.lask.[[#This Row],[Y-tunnus]],#REF!,COLUMN(#REF!),FALSE),0)</f>
        <v>0</v>
      </c>
      <c r="AR33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60000</v>
      </c>
      <c r="AS33" s="17">
        <f>Ohj.lask.[[#This Row],[Jaettava € 1]]+Ohj.lask.[[#This Row],[Päätös, € 9]]</f>
        <v>4073283</v>
      </c>
      <c r="AT33" s="113">
        <f>Ohj.lask.[[#This Row],[Jaettava € 2]]</f>
        <v>1345396</v>
      </c>
      <c r="AU33" s="17">
        <f>Ohj.lask.[[#This Row],[Jaettava € 3]]+Ohj.lask.[[#This Row],[Jaettava € 4]]+Ohj.lask.[[#This Row],[Jaettava € 5]]</f>
        <v>550992</v>
      </c>
      <c r="AV33" s="42">
        <f>Ohj.lask.[[#This Row],[Jaettava € 6]]+Ohj.lask.[[#This Row],[Päätös, € 9]]</f>
        <v>5969671</v>
      </c>
      <c r="AW33" s="42">
        <v>493429</v>
      </c>
      <c r="AX33" s="23">
        <f>Ohj.lask.[[#This Row],[Perus-, suoritus- ja vaikuttavuusrahoitus yhteensä, €]]+Ohj.lask.[[#This Row],[Alv-korvaus, €]]</f>
        <v>6463100</v>
      </c>
    </row>
    <row r="34" spans="1:50" ht="12.75" x14ac:dyDescent="0.2">
      <c r="A34" s="134" t="s">
        <v>358</v>
      </c>
      <c r="B34" s="14" t="s">
        <v>39</v>
      </c>
      <c r="C34" s="14" t="s">
        <v>216</v>
      </c>
      <c r="D34" s="14" t="s">
        <v>392</v>
      </c>
      <c r="E34" s="14" t="s">
        <v>438</v>
      </c>
      <c r="F34" s="117">
        <v>893</v>
      </c>
      <c r="G34" s="124">
        <f>Ohj.lask.[[#This Row],[Tavoitteelliset opiskelija-vuodet]]-Ohj.lask.[[#This Row],[Järjestämisluvan opisk.vuosien vähimmäismäärä]]</f>
        <v>46</v>
      </c>
      <c r="H34" s="41">
        <v>939</v>
      </c>
      <c r="I34" s="15">
        <f>IFERROR(VLOOKUP($A34,'2.1 Toteut. op.vuodet'!$A:$T,COLUMN('2.1 Toteut. op.vuodet'!T:T),FALSE),0)</f>
        <v>4.6165830652394595</v>
      </c>
      <c r="J34" s="81">
        <f t="shared" si="0"/>
        <v>4335</v>
      </c>
      <c r="K34" s="16">
        <f>IFERROR(Ohj.lask.[[#This Row],[Painotetut opiskelija-vuodet]]/Ohj.lask.[[#Totals],[Painotetut opiskelija-vuodet]],0)</f>
        <v>2.116996921442079E-2</v>
      </c>
      <c r="L34" s="17">
        <f>ROUND(IFERROR('1.1 Jakotaulu'!L$11*Ohj.lask.[[#This Row],[%-osuus 1]],0),0)</f>
        <v>26662962</v>
      </c>
      <c r="M34" s="186">
        <f>IFERROR(ROUND(VLOOKUP($A34,'2.2 Tutk. ja osien pain. pist.'!$A:$Q,COLUMN('2.2 Tutk. ja osien pain. pist.'!P:P),FALSE),1),0)</f>
        <v>153474</v>
      </c>
      <c r="N34" s="16">
        <f>IFERROR(Ohj.lask.[[#This Row],[Painotetut pisteet 2]]/Ohj.lask.[[#Totals],[Painotetut pisteet 2]],0)</f>
        <v>9.8524259709984515E-3</v>
      </c>
      <c r="O34" s="23">
        <f>ROUND(IFERROR('1.1 Jakotaulu'!K$12*Ohj.lask.[[#This Row],[%-osuus 2]],0),0)</f>
        <v>3617633</v>
      </c>
      <c r="P34" s="187">
        <f>IFERROR(ROUND(VLOOKUP($A34,'2.3 Työll. ja jatko-opisk.'!$A:$K,COLUMN('2.3 Työll. ja jatko-opisk.'!I:I),FALSE),1),0)</f>
        <v>501.2</v>
      </c>
      <c r="Q34" s="16">
        <f>IFERROR(Ohj.lask.[[#This Row],[Painotetut pisteet 3]]/Ohj.lask.[[#Totals],[Painotetut pisteet 3]],0)</f>
        <v>2.5183031701377086E-3</v>
      </c>
      <c r="R34" s="17">
        <f>ROUND(IFERROR('1.1 Jakotaulu'!L$14*Ohj.lask.[[#This Row],[%-osuus 3]],0),0)</f>
        <v>346753</v>
      </c>
      <c r="S34" s="186">
        <f>IFERROR(ROUND(VLOOKUP($A34,'2.4 Aloittaneet palaute'!$A:$K,COLUMN('2.4 Aloittaneet palaute'!J:J),FALSE),1),0)</f>
        <v>4982.5</v>
      </c>
      <c r="T34" s="20">
        <f>IFERROR(Ohj.lask.[[#This Row],[Painotetut pisteet 4]]/Ohj.lask.[[#Totals],[Painotetut pisteet 4]],0)</f>
        <v>3.0269350133911113E-3</v>
      </c>
      <c r="U34" s="23">
        <f>ROUND(IFERROR('1.1 Jakotaulu'!M$16*Ohj.lask.[[#This Row],[%-osuus 4]],0),0)</f>
        <v>34732</v>
      </c>
      <c r="V34" s="81">
        <f>IFERROR(ROUND(VLOOKUP($A34,'2.5 Päättäneet palaute'!$A:$AC,COLUMN('2.5 Päättäneet palaute'!AB:AB),FALSE),1),0)</f>
        <v>20930.099999999999</v>
      </c>
      <c r="W34" s="20">
        <f>IFERROR(Ohj.lask.[[#This Row],[Painotetut pisteet 5]]/Ohj.lask.[[#Totals],[Painotetut pisteet 5]],0)</f>
        <v>2.4276850253679696E-3</v>
      </c>
      <c r="X34" s="17">
        <f>ROUND(IFERROR('1.1 Jakotaulu'!M$17*Ohj.lask.[[#This Row],[%-osuus 5]],0),0)</f>
        <v>83569</v>
      </c>
      <c r="Y34" s="19">
        <f>IFERROR(Ohj.lask.[[#This Row],[Jaettava € 6]]/Ohj.lask.[[#Totals],[Jaettava € 6]],"")</f>
        <v>1.6984256733977125E-2</v>
      </c>
      <c r="Z34" s="23">
        <f>IFERROR(Ohj.lask.[[#This Row],[Jaettava € 1]]+Ohj.lask.[[#This Row],[Jaettava € 2]]+Ohj.lask.[[#This Row],[Jaettava € 3]]+Ohj.lask.[[#This Row],[Jaettava € 4]]+Ohj.lask.[[#This Row],[Jaettava € 5]],"")</f>
        <v>30745649</v>
      </c>
      <c r="AA34" s="17">
        <v>0</v>
      </c>
      <c r="AB34" s="17">
        <v>0</v>
      </c>
      <c r="AC34" s="18">
        <v>0</v>
      </c>
      <c r="AD34" s="17">
        <v>0</v>
      </c>
      <c r="AE34" s="18">
        <v>0</v>
      </c>
      <c r="AF34" s="17">
        <v>0</v>
      </c>
      <c r="AG34" s="18">
        <v>0</v>
      </c>
      <c r="AH34" s="17">
        <v>0</v>
      </c>
      <c r="AI34" s="18">
        <v>0</v>
      </c>
      <c r="AJ34" s="17">
        <v>0</v>
      </c>
      <c r="AK34" s="18">
        <v>0</v>
      </c>
      <c r="AL34" s="17">
        <v>0</v>
      </c>
      <c r="AM34" s="18">
        <v>30000</v>
      </c>
      <c r="AN34" s="23">
        <v>0</v>
      </c>
      <c r="AO34" s="17">
        <v>0</v>
      </c>
      <c r="AP34" s="17">
        <v>0</v>
      </c>
      <c r="AQ34" s="18">
        <f>IFERROR(VLOOKUP(Ohj.lask.[[#This Row],[Y-tunnus]],#REF!,COLUMN(#REF!),FALSE),0)</f>
        <v>0</v>
      </c>
      <c r="AR34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34" s="17">
        <f>Ohj.lask.[[#This Row],[Jaettava € 1]]+Ohj.lask.[[#This Row],[Päätös, € 9]]</f>
        <v>26662962</v>
      </c>
      <c r="AT34" s="113">
        <f>Ohj.lask.[[#This Row],[Jaettava € 2]]</f>
        <v>3617633</v>
      </c>
      <c r="AU34" s="17">
        <f>Ohj.lask.[[#This Row],[Jaettava € 3]]+Ohj.lask.[[#This Row],[Jaettava € 4]]+Ohj.lask.[[#This Row],[Jaettava € 5]]</f>
        <v>465054</v>
      </c>
      <c r="AV34" s="42">
        <f>Ohj.lask.[[#This Row],[Jaettava € 6]]+Ohj.lask.[[#This Row],[Päätös, € 9]]</f>
        <v>30745649</v>
      </c>
      <c r="AW34" s="42">
        <v>872743</v>
      </c>
      <c r="AX34" s="23">
        <f>Ohj.lask.[[#This Row],[Perus-, suoritus- ja vaikuttavuusrahoitus yhteensä, €]]+Ohj.lask.[[#This Row],[Alv-korvaus, €]]</f>
        <v>31618392</v>
      </c>
    </row>
    <row r="35" spans="1:50" ht="12.75" x14ac:dyDescent="0.2">
      <c r="A35" s="134" t="s">
        <v>357</v>
      </c>
      <c r="B35" s="14" t="s">
        <v>40</v>
      </c>
      <c r="C35" s="14" t="s">
        <v>250</v>
      </c>
      <c r="D35" s="14" t="s">
        <v>392</v>
      </c>
      <c r="E35" s="14" t="s">
        <v>438</v>
      </c>
      <c r="F35" s="117">
        <v>36</v>
      </c>
      <c r="G35" s="124">
        <f>Ohj.lask.[[#This Row],[Tavoitteelliset opiskelija-vuodet]]-Ohj.lask.[[#This Row],[Järjestämisluvan opisk.vuosien vähimmäismäärä]]</f>
        <v>8</v>
      </c>
      <c r="H35" s="41">
        <v>44</v>
      </c>
      <c r="I35" s="15">
        <f>IFERROR(VLOOKUP($A35,'2.1 Toteut. op.vuodet'!$A:$T,COLUMN('2.1 Toteut. op.vuodet'!T:T),FALSE),0)</f>
        <v>1.2565226784726096</v>
      </c>
      <c r="J35" s="81">
        <f t="shared" si="0"/>
        <v>55.3</v>
      </c>
      <c r="K35" s="16">
        <f>IFERROR(Ohj.lask.[[#This Row],[Painotetut opiskelija-vuodet]]/Ohj.lask.[[#Totals],[Painotetut opiskelija-vuodet]],0)</f>
        <v>2.7005750808707489E-4</v>
      </c>
      <c r="L35" s="17">
        <f>ROUND(IFERROR('1.1 Jakotaulu'!L$11*Ohj.lask.[[#This Row],[%-osuus 1]],0),0)</f>
        <v>340130</v>
      </c>
      <c r="M35" s="186">
        <f>IFERROR(ROUND(VLOOKUP($A35,'2.2 Tutk. ja osien pain. pist.'!$A:$Q,COLUMN('2.2 Tutk. ja osien pain. pist.'!P:P),FALSE),1),0)</f>
        <v>5283.9</v>
      </c>
      <c r="N35" s="16">
        <f>IFERROR(Ohj.lask.[[#This Row],[Painotetut pisteet 2]]/Ohj.lask.[[#Totals],[Painotetut pisteet 2]],0)</f>
        <v>3.3920555656436082E-4</v>
      </c>
      <c r="O35" s="23">
        <f>ROUND(IFERROR('1.1 Jakotaulu'!K$12*Ohj.lask.[[#This Row],[%-osuus 2]],0),0)</f>
        <v>124550</v>
      </c>
      <c r="P35" s="187">
        <f>IFERROR(ROUND(VLOOKUP($A35,'2.3 Työll. ja jatko-opisk.'!$A:$K,COLUMN('2.3 Työll. ja jatko-opisk.'!I:I),FALSE),1),0)</f>
        <v>50.1</v>
      </c>
      <c r="Q35" s="16">
        <f>IFERROR(Ohj.lask.[[#This Row],[Painotetut pisteet 3]]/Ohj.lask.[[#Totals],[Painotetut pisteet 3]],0)</f>
        <v>2.5172982606524183E-4</v>
      </c>
      <c r="R35" s="17">
        <f>ROUND(IFERROR('1.1 Jakotaulu'!L$14*Ohj.lask.[[#This Row],[%-osuus 3]],0),0)</f>
        <v>34661</v>
      </c>
      <c r="S35" s="186">
        <f>IFERROR(ROUND(VLOOKUP($A35,'2.4 Aloittaneet palaute'!$A:$K,COLUMN('2.4 Aloittaneet palaute'!J:J),FALSE),1),0)</f>
        <v>648.4</v>
      </c>
      <c r="T35" s="20">
        <f>IFERROR(Ohj.lask.[[#This Row],[Painotetut pisteet 4]]/Ohj.lask.[[#Totals],[Painotetut pisteet 4]],0)</f>
        <v>3.9391162321782169E-4</v>
      </c>
      <c r="U35" s="23">
        <f>ROUND(IFERROR('1.1 Jakotaulu'!M$16*Ohj.lask.[[#This Row],[%-osuus 4]],0),0)</f>
        <v>4520</v>
      </c>
      <c r="V35" s="81">
        <f>IFERROR(ROUND(VLOOKUP($A35,'2.5 Päättäneet palaute'!$A:$AC,COLUMN('2.5 Päättäneet palaute'!AB:AB),FALSE),1),0)</f>
        <v>4998.8</v>
      </c>
      <c r="W35" s="20">
        <f>IFERROR(Ohj.lask.[[#This Row],[Painotetut pisteet 5]]/Ohj.lask.[[#Totals],[Painotetut pisteet 5]],0)</f>
        <v>5.7981146314682716E-4</v>
      </c>
      <c r="X35" s="17">
        <f>ROUND(IFERROR('1.1 Jakotaulu'!M$17*Ohj.lask.[[#This Row],[%-osuus 5]],0),0)</f>
        <v>19959</v>
      </c>
      <c r="Y35" s="19">
        <f>IFERROR(Ohj.lask.[[#This Row],[Jaettava € 6]]/Ohj.lask.[[#Totals],[Jaettava € 6]],"")</f>
        <v>2.8936430525151375E-4</v>
      </c>
      <c r="Z35" s="23">
        <f>IFERROR(Ohj.lask.[[#This Row],[Jaettava € 1]]+Ohj.lask.[[#This Row],[Jaettava € 2]]+Ohj.lask.[[#This Row],[Jaettava € 3]]+Ohj.lask.[[#This Row],[Jaettava € 4]]+Ohj.lask.[[#This Row],[Jaettava € 5]],"")</f>
        <v>523820</v>
      </c>
      <c r="AA35" s="17">
        <v>0</v>
      </c>
      <c r="AB35" s="17">
        <v>0</v>
      </c>
      <c r="AC35" s="18">
        <v>20000</v>
      </c>
      <c r="AD35" s="17">
        <v>0</v>
      </c>
      <c r="AE35" s="18">
        <v>0</v>
      </c>
      <c r="AF35" s="17">
        <v>0</v>
      </c>
      <c r="AG35" s="18">
        <v>30000</v>
      </c>
      <c r="AH35" s="17">
        <v>0</v>
      </c>
      <c r="AI35" s="18">
        <v>0</v>
      </c>
      <c r="AJ35" s="17">
        <v>0</v>
      </c>
      <c r="AK35" s="18">
        <v>0</v>
      </c>
      <c r="AL35" s="17">
        <v>0</v>
      </c>
      <c r="AM35" s="18">
        <v>5000</v>
      </c>
      <c r="AN35" s="23">
        <v>0</v>
      </c>
      <c r="AO35" s="17">
        <v>0</v>
      </c>
      <c r="AP35" s="17">
        <v>0</v>
      </c>
      <c r="AQ35" s="18">
        <f>IFERROR(VLOOKUP(Ohj.lask.[[#This Row],[Y-tunnus]],#REF!,COLUMN(#REF!),FALSE),0)</f>
        <v>0</v>
      </c>
      <c r="AR35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35" s="17">
        <f>Ohj.lask.[[#This Row],[Jaettava € 1]]+Ohj.lask.[[#This Row],[Päätös, € 9]]</f>
        <v>340130</v>
      </c>
      <c r="AT35" s="113">
        <f>Ohj.lask.[[#This Row],[Jaettava € 2]]</f>
        <v>124550</v>
      </c>
      <c r="AU35" s="17">
        <f>Ohj.lask.[[#This Row],[Jaettava € 3]]+Ohj.lask.[[#This Row],[Jaettava € 4]]+Ohj.lask.[[#This Row],[Jaettava € 5]]</f>
        <v>59140</v>
      </c>
      <c r="AV35" s="42">
        <f>Ohj.lask.[[#This Row],[Jaettava € 6]]+Ohj.lask.[[#This Row],[Päätös, € 9]]</f>
        <v>523820</v>
      </c>
      <c r="AW35" s="42">
        <v>34548</v>
      </c>
      <c r="AX35" s="23">
        <f>Ohj.lask.[[#This Row],[Perus-, suoritus- ja vaikuttavuusrahoitus yhteensä, €]]+Ohj.lask.[[#This Row],[Alv-korvaus, €]]</f>
        <v>558368</v>
      </c>
    </row>
    <row r="36" spans="1:50" ht="12.75" x14ac:dyDescent="0.2">
      <c r="A36" s="134" t="s">
        <v>356</v>
      </c>
      <c r="B36" s="14" t="s">
        <v>41</v>
      </c>
      <c r="C36" s="107" t="s">
        <v>250</v>
      </c>
      <c r="D36" s="107" t="s">
        <v>391</v>
      </c>
      <c r="E36" s="107" t="s">
        <v>438</v>
      </c>
      <c r="F36" s="116">
        <v>1335</v>
      </c>
      <c r="G36" s="124">
        <f>Ohj.lask.[[#This Row],[Tavoitteelliset opiskelija-vuodet]]-Ohj.lask.[[#This Row],[Järjestämisluvan opisk.vuosien vähimmäismäärä]]</f>
        <v>190</v>
      </c>
      <c r="H36" s="41">
        <v>1525</v>
      </c>
      <c r="I36" s="15">
        <f>IFERROR(VLOOKUP($A36,'2.1 Toteut. op.vuodet'!$A:$T,COLUMN('2.1 Toteut. op.vuodet'!T:T),FALSE),0)</f>
        <v>1.0132152666946426</v>
      </c>
      <c r="J36" s="81">
        <f t="shared" si="0"/>
        <v>1545.2</v>
      </c>
      <c r="K36" s="16">
        <f>IFERROR(Ohj.lask.[[#This Row],[Painotetut opiskelija-vuodet]]/Ohj.lask.[[#Totals],[Painotetut opiskelija-vuodet]],0)</f>
        <v>7.5459830288634377E-3</v>
      </c>
      <c r="L36" s="17">
        <f>ROUND(IFERROR('1.1 Jakotaulu'!L$11*Ohj.lask.[[#This Row],[%-osuus 1]],0),0)</f>
        <v>9503947</v>
      </c>
      <c r="M36" s="186">
        <f>IFERROR(ROUND(VLOOKUP($A36,'2.2 Tutk. ja osien pain. pist.'!$A:$Q,COLUMN('2.2 Tutk. ja osien pain. pist.'!P:P),FALSE),1),0)</f>
        <v>161049.29999999999</v>
      </c>
      <c r="N36" s="16">
        <f>IFERROR(Ohj.lask.[[#This Row],[Painotetut pisteet 2]]/Ohj.lask.[[#Totals],[Painotetut pisteet 2]],0)</f>
        <v>1.0338730377335058E-2</v>
      </c>
      <c r="O36" s="23">
        <f>ROUND(IFERROR('1.1 Jakotaulu'!K$12*Ohj.lask.[[#This Row],[%-osuus 2]],0),0)</f>
        <v>3796196</v>
      </c>
      <c r="P36" s="187">
        <f>IFERROR(ROUND(VLOOKUP($A36,'2.3 Työll. ja jatko-opisk.'!$A:$K,COLUMN('2.3 Työll. ja jatko-opisk.'!I:I),FALSE),1),0)</f>
        <v>1865.5</v>
      </c>
      <c r="Q36" s="20">
        <f>IFERROR(Ohj.lask.[[#This Row],[Painotetut pisteet 3]]/Ohj.lask.[[#Totals],[Painotetut pisteet 3]],0)</f>
        <v>9.3732932240460799E-3</v>
      </c>
      <c r="R36" s="17">
        <f>ROUND(IFERROR('1.1 Jakotaulu'!L$14*Ohj.lask.[[#This Row],[%-osuus 3]],0),0)</f>
        <v>1290639</v>
      </c>
      <c r="S36" s="186">
        <f>IFERROR(ROUND(VLOOKUP($A36,'2.4 Aloittaneet palaute'!$A:$K,COLUMN('2.4 Aloittaneet palaute'!J:J),FALSE),1),0)</f>
        <v>9052.7000000000007</v>
      </c>
      <c r="T36" s="20">
        <f>IFERROR(Ohj.lask.[[#This Row],[Painotetut pisteet 4]]/Ohj.lask.[[#Totals],[Painotetut pisteet 4]],0)</f>
        <v>5.4996356438987894E-3</v>
      </c>
      <c r="U36" s="23">
        <f>ROUND(IFERROR('1.1 Jakotaulu'!M$16*Ohj.lask.[[#This Row],[%-osuus 4]],0),0)</f>
        <v>63105</v>
      </c>
      <c r="V36" s="81">
        <f>IFERROR(ROUND(VLOOKUP($A36,'2.5 Päättäneet palaute'!$A:$AC,COLUMN('2.5 Päättäneet palaute'!AB:AB),FALSE),1),0)</f>
        <v>74720.600000000006</v>
      </c>
      <c r="W36" s="20">
        <f>IFERROR(Ohj.lask.[[#This Row],[Painotetut pisteet 5]]/Ohj.lask.[[#Totals],[Painotetut pisteet 5]],0)</f>
        <v>8.6668521271522792E-3</v>
      </c>
      <c r="X36" s="17">
        <f>ROUND(IFERROR('1.1 Jakotaulu'!M$17*Ohj.lask.[[#This Row],[%-osuus 5]],0),0)</f>
        <v>298342</v>
      </c>
      <c r="Y36" s="19">
        <f>IFERROR(Ohj.lask.[[#This Row],[Jaettava € 6]]/Ohj.lask.[[#Totals],[Jaettava € 6]],"")</f>
        <v>8.2597864849500522E-3</v>
      </c>
      <c r="Z36" s="23">
        <f>IFERROR(Ohj.lask.[[#This Row],[Jaettava € 1]]+Ohj.lask.[[#This Row],[Jaettava € 2]]+Ohj.lask.[[#This Row],[Jaettava € 3]]+Ohj.lask.[[#This Row],[Jaettava € 4]]+Ohj.lask.[[#This Row],[Jaettava € 5]],"")</f>
        <v>14952229</v>
      </c>
      <c r="AA36" s="17">
        <v>0</v>
      </c>
      <c r="AB36" s="17">
        <v>0</v>
      </c>
      <c r="AC36" s="18">
        <v>0</v>
      </c>
      <c r="AD36" s="17">
        <v>0</v>
      </c>
      <c r="AE36" s="18">
        <v>0</v>
      </c>
      <c r="AF36" s="17">
        <v>0</v>
      </c>
      <c r="AG36" s="18">
        <v>0</v>
      </c>
      <c r="AH36" s="17">
        <v>0</v>
      </c>
      <c r="AI36" s="18">
        <v>0</v>
      </c>
      <c r="AJ36" s="17">
        <v>0</v>
      </c>
      <c r="AK36" s="18">
        <v>0</v>
      </c>
      <c r="AL36" s="17">
        <v>0</v>
      </c>
      <c r="AM36" s="18">
        <v>200000</v>
      </c>
      <c r="AN36" s="23">
        <v>0</v>
      </c>
      <c r="AO36" s="17">
        <v>0</v>
      </c>
      <c r="AP36" s="17">
        <v>0</v>
      </c>
      <c r="AQ36" s="18">
        <f>IFERROR(VLOOKUP(Ohj.lask.[[#This Row],[Y-tunnus]],#REF!,COLUMN(#REF!),FALSE),0)</f>
        <v>0</v>
      </c>
      <c r="AR36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36" s="17">
        <f>Ohj.lask.[[#This Row],[Jaettava € 1]]+Ohj.lask.[[#This Row],[Päätös, € 9]]</f>
        <v>9503947</v>
      </c>
      <c r="AT36" s="113">
        <f>Ohj.lask.[[#This Row],[Jaettava € 2]]</f>
        <v>3796196</v>
      </c>
      <c r="AU36" s="17">
        <f>Ohj.lask.[[#This Row],[Jaettava € 3]]+Ohj.lask.[[#This Row],[Jaettava € 4]]+Ohj.lask.[[#This Row],[Jaettava € 5]]</f>
        <v>1652086</v>
      </c>
      <c r="AV36" s="42">
        <f>Ohj.lask.[[#This Row],[Jaettava € 6]]+Ohj.lask.[[#This Row],[Päätös, € 9]]</f>
        <v>14952229</v>
      </c>
      <c r="AW36" s="42">
        <v>0</v>
      </c>
      <c r="AX36" s="23">
        <f>Ohj.lask.[[#This Row],[Perus-, suoritus- ja vaikuttavuusrahoitus yhteensä, €]]+Ohj.lask.[[#This Row],[Alv-korvaus, €]]</f>
        <v>14952229</v>
      </c>
    </row>
    <row r="37" spans="1:50" ht="12.75" x14ac:dyDescent="0.2">
      <c r="A37" s="134" t="s">
        <v>355</v>
      </c>
      <c r="B37" s="14" t="s">
        <v>42</v>
      </c>
      <c r="C37" s="14" t="s">
        <v>295</v>
      </c>
      <c r="D37" s="14" t="s">
        <v>392</v>
      </c>
      <c r="E37" s="14" t="s">
        <v>438</v>
      </c>
      <c r="F37" s="117">
        <v>64</v>
      </c>
      <c r="G37" s="124">
        <f>Ohj.lask.[[#This Row],[Tavoitteelliset opiskelija-vuodet]]-Ohj.lask.[[#This Row],[Järjestämisluvan opisk.vuosien vähimmäismäärä]]</f>
        <v>19</v>
      </c>
      <c r="H37" s="41">
        <v>83</v>
      </c>
      <c r="I37" s="15">
        <f>IFERROR(VLOOKUP($A37,'2.1 Toteut. op.vuodet'!$A:$T,COLUMN('2.1 Toteut. op.vuodet'!T:T),FALSE),0)</f>
        <v>0.77846015131022761</v>
      </c>
      <c r="J37" s="81">
        <f t="shared" si="0"/>
        <v>64.599999999999994</v>
      </c>
      <c r="K37" s="16">
        <f>IFERROR(Ohj.lask.[[#This Row],[Painotetut opiskelija-vuodet]]/Ohj.lask.[[#Totals],[Painotetut opiskelija-vuodet]],0)</f>
        <v>3.1547405103842739E-4</v>
      </c>
      <c r="L37" s="17">
        <f>ROUND(IFERROR('1.1 Jakotaulu'!L$11*Ohj.lask.[[#This Row],[%-osuus 1]],0),0)</f>
        <v>397330</v>
      </c>
      <c r="M37" s="186">
        <f>IFERROR(ROUND(VLOOKUP($A37,'2.2 Tutk. ja osien pain. pist.'!$A:$Q,COLUMN('2.2 Tutk. ja osien pain. pist.'!P:P),FALSE),1),0)</f>
        <v>6271.5</v>
      </c>
      <c r="N37" s="16">
        <f>IFERROR(Ohj.lask.[[#This Row],[Painotetut pisteet 2]]/Ohj.lask.[[#Totals],[Painotetut pisteet 2]],0)</f>
        <v>4.0260558451018927E-4</v>
      </c>
      <c r="O37" s="23">
        <f>ROUND(IFERROR('1.1 Jakotaulu'!K$12*Ohj.lask.[[#This Row],[%-osuus 2]],0),0)</f>
        <v>147830</v>
      </c>
      <c r="P37" s="187">
        <f>IFERROR(ROUND(VLOOKUP($A37,'2.3 Työll. ja jatko-opisk.'!$A:$K,COLUMN('2.3 Työll. ja jatko-opisk.'!I:I),FALSE),1),0)</f>
        <v>94.2</v>
      </c>
      <c r="Q37" s="16">
        <f>IFERROR(Ohj.lask.[[#This Row],[Painotetut pisteet 3]]/Ohj.lask.[[#Totals],[Painotetut pisteet 3]],0)</f>
        <v>4.7331236757177205E-4</v>
      </c>
      <c r="R37" s="17">
        <f>ROUND(IFERROR('1.1 Jakotaulu'!L$14*Ohj.lask.[[#This Row],[%-osuus 3]],0),0)</f>
        <v>65172</v>
      </c>
      <c r="S37" s="186">
        <f>IFERROR(ROUND(VLOOKUP($A37,'2.4 Aloittaneet palaute'!$A:$K,COLUMN('2.4 Aloittaneet palaute'!J:J),FALSE),1),0)</f>
        <v>2430.4</v>
      </c>
      <c r="T37" s="20">
        <f>IFERROR(Ohj.lask.[[#This Row],[Painotetut pisteet 4]]/Ohj.lask.[[#Totals],[Painotetut pisteet 4]],0)</f>
        <v>1.4765003224376835E-3</v>
      </c>
      <c r="U37" s="23">
        <f>ROUND(IFERROR('1.1 Jakotaulu'!M$16*Ohj.lask.[[#This Row],[%-osuus 4]],0),0)</f>
        <v>16942</v>
      </c>
      <c r="V37" s="81">
        <f>IFERROR(ROUND(VLOOKUP($A37,'2.5 Päättäneet palaute'!$A:$AC,COLUMN('2.5 Päättäneet palaute'!AB:AB),FALSE),1),0)</f>
        <v>11390.6</v>
      </c>
      <c r="W37" s="20">
        <f>IFERROR(Ohj.lask.[[#This Row],[Painotetut pisteet 5]]/Ohj.lask.[[#Totals],[Painotetut pisteet 5]],0)</f>
        <v>1.3211971777467091E-3</v>
      </c>
      <c r="X37" s="17">
        <f>ROUND(IFERROR('1.1 Jakotaulu'!M$17*Ohj.lask.[[#This Row],[%-osuus 5]],0),0)</f>
        <v>45480</v>
      </c>
      <c r="Y37" s="19">
        <f>IFERROR(Ohj.lask.[[#This Row],[Jaettava € 6]]/Ohj.lask.[[#Totals],[Jaettava € 6]],"")</f>
        <v>3.7163719181241054E-4</v>
      </c>
      <c r="Z37" s="23">
        <f>IFERROR(Ohj.lask.[[#This Row],[Jaettava € 1]]+Ohj.lask.[[#This Row],[Jaettava € 2]]+Ohj.lask.[[#This Row],[Jaettava € 3]]+Ohj.lask.[[#This Row],[Jaettava € 4]]+Ohj.lask.[[#This Row],[Jaettava € 5]],"")</f>
        <v>672754</v>
      </c>
      <c r="AA37" s="17">
        <v>0</v>
      </c>
      <c r="AB37" s="17">
        <v>0</v>
      </c>
      <c r="AC37" s="18">
        <v>0</v>
      </c>
      <c r="AD37" s="17">
        <v>0</v>
      </c>
      <c r="AE37" s="18">
        <v>0</v>
      </c>
      <c r="AF37" s="17">
        <v>0</v>
      </c>
      <c r="AG37" s="18">
        <v>0</v>
      </c>
      <c r="AH37" s="17">
        <v>0</v>
      </c>
      <c r="AI37" s="18">
        <v>0</v>
      </c>
      <c r="AJ37" s="17">
        <v>0</v>
      </c>
      <c r="AK37" s="18">
        <v>20000</v>
      </c>
      <c r="AL37" s="17">
        <v>0</v>
      </c>
      <c r="AM37" s="18">
        <v>20000</v>
      </c>
      <c r="AN37" s="23">
        <v>0</v>
      </c>
      <c r="AO37" s="17">
        <v>0</v>
      </c>
      <c r="AP37" s="17">
        <v>0</v>
      </c>
      <c r="AQ37" s="18">
        <f>IFERROR(VLOOKUP(Ohj.lask.[[#This Row],[Y-tunnus]],#REF!,COLUMN(#REF!),FALSE),0)</f>
        <v>0</v>
      </c>
      <c r="AR37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37" s="17">
        <f>Ohj.lask.[[#This Row],[Jaettava € 1]]+Ohj.lask.[[#This Row],[Päätös, € 9]]</f>
        <v>397330</v>
      </c>
      <c r="AT37" s="113">
        <f>Ohj.lask.[[#This Row],[Jaettava € 2]]</f>
        <v>147830</v>
      </c>
      <c r="AU37" s="17">
        <f>Ohj.lask.[[#This Row],[Jaettava € 3]]+Ohj.lask.[[#This Row],[Jaettava € 4]]+Ohj.lask.[[#This Row],[Jaettava € 5]]</f>
        <v>127594</v>
      </c>
      <c r="AV37" s="42">
        <f>Ohj.lask.[[#This Row],[Jaettava € 6]]+Ohj.lask.[[#This Row],[Päätös, € 9]]</f>
        <v>672754</v>
      </c>
      <c r="AW37" s="42">
        <v>16898</v>
      </c>
      <c r="AX37" s="23">
        <f>Ohj.lask.[[#This Row],[Perus-, suoritus- ja vaikuttavuusrahoitus yhteensä, €]]+Ohj.lask.[[#This Row],[Alv-korvaus, €]]</f>
        <v>689652</v>
      </c>
    </row>
    <row r="38" spans="1:50" ht="12.75" x14ac:dyDescent="0.2">
      <c r="A38" s="134" t="s">
        <v>352</v>
      </c>
      <c r="B38" s="14" t="s">
        <v>43</v>
      </c>
      <c r="C38" s="14" t="s">
        <v>295</v>
      </c>
      <c r="D38" s="14" t="s">
        <v>393</v>
      </c>
      <c r="E38" s="14" t="s">
        <v>438</v>
      </c>
      <c r="F38" s="117">
        <v>50</v>
      </c>
      <c r="G38" s="124">
        <f>Ohj.lask.[[#This Row],[Tavoitteelliset opiskelija-vuodet]]-Ohj.lask.[[#This Row],[Järjestämisluvan opisk.vuosien vähimmäismäärä]]</f>
        <v>11</v>
      </c>
      <c r="H38" s="41">
        <v>61</v>
      </c>
      <c r="I38" s="15">
        <f>IFERROR(VLOOKUP($A38,'2.1 Toteut. op.vuodet'!$A:$T,COLUMN('2.1 Toteut. op.vuodet'!T:T),FALSE),0)</f>
        <v>1.5794215062243011</v>
      </c>
      <c r="J38" s="81">
        <f t="shared" ref="J38:J68" si="1">IFERROR(ROUND(H38*I38,1),0)</f>
        <v>96.3</v>
      </c>
      <c r="K38" s="16">
        <f>IFERROR(Ohj.lask.[[#This Row],[Painotetut opiskelija-vuodet]]/Ohj.lask.[[#Totals],[Painotetut opiskelija-vuodet]],0)</f>
        <v>4.702809770123926E-4</v>
      </c>
      <c r="L38" s="17">
        <f>ROUND(IFERROR('1.1 Jakotaulu'!L$11*Ohj.lask.[[#This Row],[%-osuus 1]],0),0)</f>
        <v>592305</v>
      </c>
      <c r="M38" s="186">
        <f>IFERROR(ROUND(VLOOKUP($A38,'2.2 Tutk. ja osien pain. pist.'!$A:$Q,COLUMN('2.2 Tutk. ja osien pain. pist.'!P:P),FALSE),1),0)</f>
        <v>9976.9</v>
      </c>
      <c r="N38" s="16">
        <f>IFERROR(Ohj.lask.[[#This Row],[Painotetut pisteet 2]]/Ohj.lask.[[#Totals],[Painotetut pisteet 2]],0)</f>
        <v>6.4047766181929476E-4</v>
      </c>
      <c r="O38" s="23">
        <f>ROUND(IFERROR('1.1 Jakotaulu'!K$12*Ohj.lask.[[#This Row],[%-osuus 2]],0),0)</f>
        <v>235172</v>
      </c>
      <c r="P38" s="187">
        <f>IFERROR(ROUND(VLOOKUP($A38,'2.3 Työll. ja jatko-opisk.'!$A:$K,COLUMN('2.3 Työll. ja jatko-opisk.'!I:I),FALSE),1),0)</f>
        <v>96.1</v>
      </c>
      <c r="Q38" s="16">
        <f>IFERROR(Ohj.lask.[[#This Row],[Painotetut pisteet 3]]/Ohj.lask.[[#Totals],[Painotetut pisteet 3]],0)</f>
        <v>4.8285900768203066E-4</v>
      </c>
      <c r="R38" s="17">
        <f>ROUND(IFERROR('1.1 Jakotaulu'!L$14*Ohj.lask.[[#This Row],[%-osuus 3]],0),0)</f>
        <v>66486</v>
      </c>
      <c r="S38" s="186">
        <f>IFERROR(ROUND(VLOOKUP($A38,'2.4 Aloittaneet palaute'!$A:$K,COLUMN('2.4 Aloittaneet palaute'!J:J),FALSE),1),0)</f>
        <v>673.4</v>
      </c>
      <c r="T38" s="16">
        <f>IFERROR(Ohj.lask.[[#This Row],[Painotetut pisteet 4]]/Ohj.lask.[[#Totals],[Painotetut pisteet 4]],0)</f>
        <v>4.090994556984595E-4</v>
      </c>
      <c r="U38" s="23">
        <f>ROUND(IFERROR('1.1 Jakotaulu'!M$16*Ohj.lask.[[#This Row],[%-osuus 4]],0),0)</f>
        <v>4694</v>
      </c>
      <c r="V38" s="81">
        <f>IFERROR(ROUND(VLOOKUP($A38,'2.5 Päättäneet palaute'!$A:$AC,COLUMN('2.5 Päättäneet palaute'!AB:AB),FALSE),1),0)</f>
        <v>1924.6</v>
      </c>
      <c r="W38" s="16">
        <f>IFERROR(Ohj.lask.[[#This Row],[Painotetut pisteet 5]]/Ohj.lask.[[#Totals],[Painotetut pisteet 5]],0)</f>
        <v>2.232346046996046E-4</v>
      </c>
      <c r="X38" s="17">
        <f>ROUND(IFERROR('1.1 Jakotaulu'!M$17*Ohj.lask.[[#This Row],[%-osuus 5]],0),0)</f>
        <v>7684</v>
      </c>
      <c r="Y38" s="19">
        <f>IFERROR(Ohj.lask.[[#This Row],[Jaettava € 6]]/Ohj.lask.[[#Totals],[Jaettava € 6]],"")</f>
        <v>5.0067338739636172E-4</v>
      </c>
      <c r="Z38" s="23">
        <f>IFERROR(Ohj.lask.[[#This Row],[Jaettava € 1]]+Ohj.lask.[[#This Row],[Jaettava € 2]]+Ohj.lask.[[#This Row],[Jaettava € 3]]+Ohj.lask.[[#This Row],[Jaettava € 4]]+Ohj.lask.[[#This Row],[Jaettava € 5]],"")</f>
        <v>906341</v>
      </c>
      <c r="AA38" s="17">
        <v>0</v>
      </c>
      <c r="AB38" s="17">
        <v>0</v>
      </c>
      <c r="AC38" s="18">
        <v>0</v>
      </c>
      <c r="AD38" s="17">
        <v>0</v>
      </c>
      <c r="AE38" s="18">
        <v>170000</v>
      </c>
      <c r="AF38" s="17">
        <v>0</v>
      </c>
      <c r="AG38" s="18">
        <v>0</v>
      </c>
      <c r="AH38" s="17">
        <v>0</v>
      </c>
      <c r="AI38" s="18">
        <v>0</v>
      </c>
      <c r="AJ38" s="17">
        <v>0</v>
      </c>
      <c r="AK38" s="18">
        <v>0</v>
      </c>
      <c r="AL38" s="17">
        <v>0</v>
      </c>
      <c r="AM38" s="18">
        <v>0</v>
      </c>
      <c r="AN38" s="23">
        <v>0</v>
      </c>
      <c r="AO38" s="17">
        <v>0</v>
      </c>
      <c r="AP38" s="17">
        <v>0</v>
      </c>
      <c r="AQ38" s="18">
        <f>IFERROR(VLOOKUP(Ohj.lask.[[#This Row],[Y-tunnus]],#REF!,COLUMN(#REF!),FALSE),0)</f>
        <v>0</v>
      </c>
      <c r="AR38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38" s="17">
        <f>Ohj.lask.[[#This Row],[Jaettava € 1]]+Ohj.lask.[[#This Row],[Päätös, € 9]]</f>
        <v>592305</v>
      </c>
      <c r="AT38" s="113">
        <f>Ohj.lask.[[#This Row],[Jaettava € 2]]</f>
        <v>235172</v>
      </c>
      <c r="AU38" s="17">
        <f>Ohj.lask.[[#This Row],[Jaettava € 3]]+Ohj.lask.[[#This Row],[Jaettava € 4]]+Ohj.lask.[[#This Row],[Jaettava € 5]]</f>
        <v>78864</v>
      </c>
      <c r="AV38" s="42">
        <f>Ohj.lask.[[#This Row],[Jaettava € 6]]+Ohj.lask.[[#This Row],[Päätös, € 9]]</f>
        <v>906341</v>
      </c>
      <c r="AW38" s="42">
        <v>0</v>
      </c>
      <c r="AX38" s="23">
        <f>Ohj.lask.[[#This Row],[Perus-, suoritus- ja vaikuttavuusrahoitus yhteensä, €]]+Ohj.lask.[[#This Row],[Alv-korvaus, €]]</f>
        <v>906341</v>
      </c>
    </row>
    <row r="39" spans="1:50" ht="12.75" x14ac:dyDescent="0.2">
      <c r="A39" s="134" t="s">
        <v>351</v>
      </c>
      <c r="B39" s="14" t="s">
        <v>44</v>
      </c>
      <c r="C39" s="14" t="s">
        <v>224</v>
      </c>
      <c r="D39" s="14" t="s">
        <v>391</v>
      </c>
      <c r="E39" s="14" t="s">
        <v>438</v>
      </c>
      <c r="F39" s="117">
        <v>2698</v>
      </c>
      <c r="G39" s="124">
        <f>Ohj.lask.[[#This Row],[Tavoitteelliset opiskelija-vuodet]]-Ohj.lask.[[#This Row],[Järjestämisluvan opisk.vuosien vähimmäismäärä]]</f>
        <v>90</v>
      </c>
      <c r="H39" s="41">
        <v>2788</v>
      </c>
      <c r="I39" s="15">
        <f>IFERROR(VLOOKUP($A39,'2.1 Toteut. op.vuodet'!$A:$T,COLUMN('2.1 Toteut. op.vuodet'!T:T),FALSE),0)</f>
        <v>1.1236660936722052</v>
      </c>
      <c r="J39" s="81">
        <f t="shared" si="1"/>
        <v>3132.8</v>
      </c>
      <c r="K39" s="16">
        <f>IFERROR(Ohj.lask.[[#This Row],[Painotetut opiskelija-vuodet]]/Ohj.lask.[[#Totals],[Painotetut opiskelija-vuodet]],0)</f>
        <v>1.5299026425591108E-2</v>
      </c>
      <c r="L39" s="17">
        <f>ROUND(IFERROR('1.1 Jakotaulu'!L$11*Ohj.lask.[[#This Row],[%-osuus 1]],0),0)</f>
        <v>19268680</v>
      </c>
      <c r="M39" s="186">
        <f>IFERROR(ROUND(VLOOKUP($A39,'2.2 Tutk. ja osien pain. pist.'!$A:$Q,COLUMN('2.2 Tutk. ja osien pain. pist.'!P:P),FALSE),1),0)</f>
        <v>238713.2</v>
      </c>
      <c r="N39" s="16">
        <f>IFERROR(Ohj.lask.[[#This Row],[Painotetut pisteet 2]]/Ohj.lask.[[#Totals],[Painotetut pisteet 2]],0)</f>
        <v>1.5324446689994055E-2</v>
      </c>
      <c r="O39" s="23">
        <f>ROUND(IFERROR('1.1 Jakotaulu'!K$12*Ohj.lask.[[#This Row],[%-osuus 2]],0),0)</f>
        <v>5626861</v>
      </c>
      <c r="P39" s="187">
        <f>IFERROR(ROUND(VLOOKUP($A39,'2.3 Työll. ja jatko-opisk.'!$A:$K,COLUMN('2.3 Työll. ja jatko-opisk.'!I:I),FALSE),1),0)</f>
        <v>3550.3</v>
      </c>
      <c r="Q39" s="16">
        <f>IFERROR(Ohj.lask.[[#This Row],[Painotetut pisteet 3]]/Ohj.lask.[[#Totals],[Painotetut pisteet 3]],0)</f>
        <v>1.7838650728132299E-2</v>
      </c>
      <c r="R39" s="17">
        <f>ROUND(IFERROR('1.1 Jakotaulu'!L$14*Ohj.lask.[[#This Row],[%-osuus 3]],0),0)</f>
        <v>2456262</v>
      </c>
      <c r="S39" s="186">
        <f>IFERROR(ROUND(VLOOKUP($A39,'2.4 Aloittaneet palaute'!$A:$K,COLUMN('2.4 Aloittaneet palaute'!J:J),FALSE),1),0)</f>
        <v>25299</v>
      </c>
      <c r="T39" s="20">
        <f>IFERROR(Ohj.lask.[[#This Row],[Painotetut pisteet 4]]/Ohj.lask.[[#Totals],[Painotetut pisteet 4]],0)</f>
        <v>1.5369478957106218E-2</v>
      </c>
      <c r="U39" s="23">
        <f>ROUND(IFERROR('1.1 Jakotaulu'!M$16*Ohj.lask.[[#This Row],[%-osuus 4]],0),0)</f>
        <v>176356</v>
      </c>
      <c r="V39" s="81">
        <f>IFERROR(ROUND(VLOOKUP($A39,'2.5 Päättäneet palaute'!$A:$AC,COLUMN('2.5 Päättäneet palaute'!AB:AB),FALSE),1),0)</f>
        <v>139013.20000000001</v>
      </c>
      <c r="W39" s="20">
        <f>IFERROR(Ohj.lask.[[#This Row],[Painotetut pisteet 5]]/Ohj.lask.[[#Totals],[Painotetut pisteet 5]],0)</f>
        <v>1.6124159175946732E-2</v>
      </c>
      <c r="X39" s="17">
        <f>ROUND(IFERROR('1.1 Jakotaulu'!M$17*Ohj.lask.[[#This Row],[%-osuus 5]],0),0)</f>
        <v>555047</v>
      </c>
      <c r="Y39" s="19">
        <f>IFERROR(Ohj.lask.[[#This Row],[Jaettava € 6]]/Ohj.lask.[[#Totals],[Jaettava € 6]],"")</f>
        <v>1.5513492026698375E-2</v>
      </c>
      <c r="Z39" s="23">
        <f>IFERROR(Ohj.lask.[[#This Row],[Jaettava € 1]]+Ohj.lask.[[#This Row],[Jaettava € 2]]+Ohj.lask.[[#This Row],[Jaettava € 3]]+Ohj.lask.[[#This Row],[Jaettava € 4]]+Ohj.lask.[[#This Row],[Jaettava € 5]],"")</f>
        <v>28083206</v>
      </c>
      <c r="AA39" s="17">
        <v>0</v>
      </c>
      <c r="AB39" s="17">
        <v>0</v>
      </c>
      <c r="AC39" s="18">
        <v>0</v>
      </c>
      <c r="AD39" s="17">
        <v>0</v>
      </c>
      <c r="AE39" s="18">
        <v>890000</v>
      </c>
      <c r="AF39" s="17">
        <v>0</v>
      </c>
      <c r="AG39" s="18">
        <v>0</v>
      </c>
      <c r="AH39" s="17">
        <v>0</v>
      </c>
      <c r="AI39" s="18">
        <v>0</v>
      </c>
      <c r="AJ39" s="17">
        <v>0</v>
      </c>
      <c r="AK39" s="18">
        <v>0</v>
      </c>
      <c r="AL39" s="17">
        <v>0</v>
      </c>
      <c r="AM39" s="18">
        <v>100000</v>
      </c>
      <c r="AN39" s="23">
        <v>70000</v>
      </c>
      <c r="AO39" s="17">
        <v>0</v>
      </c>
      <c r="AP39" s="17">
        <v>0</v>
      </c>
      <c r="AQ39" s="18">
        <f>IFERROR(VLOOKUP(Ohj.lask.[[#This Row],[Y-tunnus]],#REF!,COLUMN(#REF!),FALSE),0)</f>
        <v>0</v>
      </c>
      <c r="AR39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70000</v>
      </c>
      <c r="AS39" s="17">
        <f>Ohj.lask.[[#This Row],[Jaettava € 1]]+Ohj.lask.[[#This Row],[Päätös, € 9]]</f>
        <v>19338680</v>
      </c>
      <c r="AT39" s="113">
        <f>Ohj.lask.[[#This Row],[Jaettava € 2]]</f>
        <v>5626861</v>
      </c>
      <c r="AU39" s="17">
        <f>Ohj.lask.[[#This Row],[Jaettava € 3]]+Ohj.lask.[[#This Row],[Jaettava € 4]]+Ohj.lask.[[#This Row],[Jaettava € 5]]</f>
        <v>3187665</v>
      </c>
      <c r="AV39" s="42">
        <f>Ohj.lask.[[#This Row],[Jaettava € 6]]+Ohj.lask.[[#This Row],[Päätös, € 9]]</f>
        <v>28153206</v>
      </c>
      <c r="AW39" s="42">
        <v>0</v>
      </c>
      <c r="AX39" s="23">
        <f>Ohj.lask.[[#This Row],[Perus-, suoritus- ja vaikuttavuusrahoitus yhteensä, €]]+Ohj.lask.[[#This Row],[Alv-korvaus, €]]</f>
        <v>28153206</v>
      </c>
    </row>
    <row r="40" spans="1:50" ht="12.75" x14ac:dyDescent="0.2">
      <c r="A40" s="134" t="s">
        <v>350</v>
      </c>
      <c r="B40" s="14" t="s">
        <v>45</v>
      </c>
      <c r="C40" s="14" t="s">
        <v>216</v>
      </c>
      <c r="D40" s="14" t="s">
        <v>392</v>
      </c>
      <c r="E40" s="14" t="s">
        <v>438</v>
      </c>
      <c r="F40" s="117">
        <v>136</v>
      </c>
      <c r="G40" s="124">
        <f>Ohj.lask.[[#This Row],[Tavoitteelliset opiskelija-vuodet]]-Ohj.lask.[[#This Row],[Järjestämisluvan opisk.vuosien vähimmäismäärä]]</f>
        <v>7</v>
      </c>
      <c r="H40" s="41">
        <v>143</v>
      </c>
      <c r="I40" s="15">
        <f>IFERROR(VLOOKUP($A40,'2.1 Toteut. op.vuodet'!$A:$T,COLUMN('2.1 Toteut. op.vuodet'!T:T),FALSE),0)</f>
        <v>0.56548789601035399</v>
      </c>
      <c r="J40" s="81">
        <f t="shared" si="1"/>
        <v>80.900000000000006</v>
      </c>
      <c r="K40" s="16">
        <f>IFERROR(Ohj.lask.[[#This Row],[Painotetut opiskelija-vuodet]]/Ohj.lask.[[#Totals],[Painotetut opiskelija-vuodet]],0)</f>
        <v>3.9507508868434648E-4</v>
      </c>
      <c r="L40" s="17">
        <f>ROUND(IFERROR('1.1 Jakotaulu'!L$11*Ohj.lask.[[#This Row],[%-osuus 1]],0),0)</f>
        <v>497586</v>
      </c>
      <c r="M40" s="186">
        <f>IFERROR(ROUND(VLOOKUP($A40,'2.2 Tutk. ja osien pain. pist.'!$A:$Q,COLUMN('2.2 Tutk. ja osien pain. pist.'!P:P),FALSE),1),0)</f>
        <v>8371.7000000000007</v>
      </c>
      <c r="N40" s="16">
        <f>IFERROR(Ohj.lask.[[#This Row],[Painotetut pisteet 2]]/Ohj.lask.[[#Totals],[Painotetut pisteet 2]],0)</f>
        <v>5.3743014778664618E-4</v>
      </c>
      <c r="O40" s="23">
        <f>ROUND(IFERROR('1.1 Jakotaulu'!K$12*Ohj.lask.[[#This Row],[%-osuus 2]],0),0)</f>
        <v>197335</v>
      </c>
      <c r="P40" s="187">
        <f>IFERROR(ROUND(VLOOKUP($A40,'2.3 Työll. ja jatko-opisk.'!$A:$K,COLUMN('2.3 Työll. ja jatko-opisk.'!I:I),FALSE),1),0)</f>
        <v>192.1</v>
      </c>
      <c r="Q40" s="16">
        <f>IFERROR(Ohj.lask.[[#This Row],[Painotetut pisteet 3]]/Ohj.lask.[[#Totals],[Painotetut pisteet 3]],0)</f>
        <v>9.6521556062141621E-4</v>
      </c>
      <c r="R40" s="17">
        <f>ROUND(IFERROR('1.1 Jakotaulu'!L$14*Ohj.lask.[[#This Row],[%-osuus 3]],0),0)</f>
        <v>132904</v>
      </c>
      <c r="S40" s="186">
        <f>IFERROR(ROUND(VLOOKUP($A40,'2.4 Aloittaneet palaute'!$A:$K,COLUMN('2.4 Aloittaneet palaute'!J:J),FALSE),1),0)</f>
        <v>2736.9</v>
      </c>
      <c r="T40" s="20">
        <f>IFERROR(Ohj.lask.[[#This Row],[Painotetut pisteet 4]]/Ohj.lask.[[#Totals],[Painotetut pisteet 4]],0)</f>
        <v>1.6627031486503028E-3</v>
      </c>
      <c r="U40" s="23">
        <f>ROUND(IFERROR('1.1 Jakotaulu'!M$16*Ohj.lask.[[#This Row],[%-osuus 4]],0),0)</f>
        <v>19079</v>
      </c>
      <c r="V40" s="81">
        <f>IFERROR(ROUND(VLOOKUP($A40,'2.5 Päättäneet palaute'!$A:$AC,COLUMN('2.5 Päättäneet palaute'!AB:AB),FALSE),1),0)</f>
        <v>20942.400000000001</v>
      </c>
      <c r="W40" s="20">
        <f>IFERROR(Ohj.lask.[[#This Row],[Painotetut pisteet 5]]/Ohj.lask.[[#Totals],[Painotetut pisteet 5]],0)</f>
        <v>2.4291117039701754E-3</v>
      </c>
      <c r="X40" s="17">
        <f>ROUND(IFERROR('1.1 Jakotaulu'!M$17*Ohj.lask.[[#This Row],[%-osuus 5]],0),0)</f>
        <v>83618</v>
      </c>
      <c r="Y40" s="19">
        <f>IFERROR(Ohj.lask.[[#This Row],[Jaettava € 6]]/Ohj.lask.[[#Totals],[Jaettava € 6]],"")</f>
        <v>5.1403125510910059E-4</v>
      </c>
      <c r="Z40" s="23">
        <f>IFERROR(Ohj.lask.[[#This Row],[Jaettava € 1]]+Ohj.lask.[[#This Row],[Jaettava € 2]]+Ohj.lask.[[#This Row],[Jaettava € 3]]+Ohj.lask.[[#This Row],[Jaettava € 4]]+Ohj.lask.[[#This Row],[Jaettava € 5]],"")</f>
        <v>930522</v>
      </c>
      <c r="AA40" s="17">
        <v>0</v>
      </c>
      <c r="AB40" s="17">
        <v>0</v>
      </c>
      <c r="AC40" s="18">
        <v>0</v>
      </c>
      <c r="AD40" s="17">
        <v>0</v>
      </c>
      <c r="AE40" s="18">
        <v>0</v>
      </c>
      <c r="AF40" s="17">
        <v>0</v>
      </c>
      <c r="AG40" s="18">
        <v>0</v>
      </c>
      <c r="AH40" s="17">
        <v>0</v>
      </c>
      <c r="AI40" s="18">
        <v>0</v>
      </c>
      <c r="AJ40" s="17">
        <v>0</v>
      </c>
      <c r="AK40" s="18">
        <v>0</v>
      </c>
      <c r="AL40" s="17">
        <v>0</v>
      </c>
      <c r="AM40" s="18">
        <v>10000</v>
      </c>
      <c r="AN40" s="23">
        <v>10000</v>
      </c>
      <c r="AO40" s="17">
        <v>0</v>
      </c>
      <c r="AP40" s="17">
        <v>0</v>
      </c>
      <c r="AQ40" s="18">
        <f>IFERROR(VLOOKUP(Ohj.lask.[[#This Row],[Y-tunnus]],#REF!,COLUMN(#REF!),FALSE),0)</f>
        <v>0</v>
      </c>
      <c r="AR40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10000</v>
      </c>
      <c r="AS40" s="17">
        <f>Ohj.lask.[[#This Row],[Jaettava € 1]]+Ohj.lask.[[#This Row],[Päätös, € 9]]</f>
        <v>507586</v>
      </c>
      <c r="AT40" s="113">
        <f>Ohj.lask.[[#This Row],[Jaettava € 2]]</f>
        <v>197335</v>
      </c>
      <c r="AU40" s="17">
        <f>Ohj.lask.[[#This Row],[Jaettava € 3]]+Ohj.lask.[[#This Row],[Jaettava € 4]]+Ohj.lask.[[#This Row],[Jaettava € 5]]</f>
        <v>235601</v>
      </c>
      <c r="AV40" s="42">
        <f>Ohj.lask.[[#This Row],[Jaettava € 6]]+Ohj.lask.[[#This Row],[Päätös, € 9]]</f>
        <v>940522</v>
      </c>
      <c r="AW40" s="42">
        <v>16739</v>
      </c>
      <c r="AX40" s="23">
        <f>Ohj.lask.[[#This Row],[Perus-, suoritus- ja vaikuttavuusrahoitus yhteensä, €]]+Ohj.lask.[[#This Row],[Alv-korvaus, €]]</f>
        <v>957261</v>
      </c>
    </row>
    <row r="41" spans="1:50" ht="12.75" x14ac:dyDescent="0.2">
      <c r="A41" s="134" t="s">
        <v>349</v>
      </c>
      <c r="B41" s="14" t="s">
        <v>531</v>
      </c>
      <c r="C41" s="107" t="s">
        <v>218</v>
      </c>
      <c r="D41" s="107" t="s">
        <v>391</v>
      </c>
      <c r="E41" s="107" t="s">
        <v>438</v>
      </c>
      <c r="F41" s="116">
        <v>6314</v>
      </c>
      <c r="G41" s="124">
        <f>Ohj.lask.[[#This Row],[Tavoitteelliset opiskelija-vuodet]]-Ohj.lask.[[#This Row],[Järjestämisluvan opisk.vuosien vähimmäismäärä]]</f>
        <v>83</v>
      </c>
      <c r="H41" s="41">
        <v>6397</v>
      </c>
      <c r="I41" s="15">
        <f>IFERROR(VLOOKUP($A41,'2.1 Toteut. op.vuodet'!$A:$T,COLUMN('2.1 Toteut. op.vuodet'!T:T),FALSE),0)</f>
        <v>1.057309687526119</v>
      </c>
      <c r="J41" s="81">
        <f t="shared" si="1"/>
        <v>6763.6</v>
      </c>
      <c r="K41" s="16">
        <f>IFERROR(Ohj.lask.[[#This Row],[Painotetut opiskelija-vuodet]]/Ohj.lask.[[#Totals],[Painotetut opiskelija-vuodet]],0)</f>
        <v>3.3030035473738513E-2</v>
      </c>
      <c r="L41" s="17">
        <f>ROUND(IFERROR('1.1 Jakotaulu'!L$11*Ohj.lask.[[#This Row],[%-osuus 1]],0),0)</f>
        <v>41600372</v>
      </c>
      <c r="M41" s="186">
        <f>IFERROR(ROUND(VLOOKUP($A41,'2.2 Tutk. ja osien pain. pist.'!$A:$Q,COLUMN('2.2 Tutk. ja osien pain. pist.'!P:P),FALSE),1),0)</f>
        <v>593224.4</v>
      </c>
      <c r="N41" s="16">
        <f>IFERROR(Ohj.lask.[[#This Row],[Painotetut pisteet 2]]/Ohj.lask.[[#Totals],[Painotetut pisteet 2]],0)</f>
        <v>3.808266862914874E-2</v>
      </c>
      <c r="O41" s="23">
        <f>ROUND(IFERROR('1.1 Jakotaulu'!K$12*Ohj.lask.[[#This Row],[%-osuus 2]],0),0)</f>
        <v>13983270</v>
      </c>
      <c r="P41" s="187">
        <f>IFERROR(ROUND(VLOOKUP($A41,'2.3 Työll. ja jatko-opisk.'!$A:$K,COLUMN('2.3 Työll. ja jatko-opisk.'!I:I),FALSE),1),0)</f>
        <v>8687.7000000000007</v>
      </c>
      <c r="Q41" s="20">
        <f>IFERROR(Ohj.lask.[[#This Row],[Painotetut pisteet 3]]/Ohj.lask.[[#Totals],[Painotetut pisteet 3]],0)</f>
        <v>4.3651760676786458E-2</v>
      </c>
      <c r="R41" s="17">
        <f>ROUND(IFERROR('1.1 Jakotaulu'!L$14*Ohj.lask.[[#This Row],[%-osuus 3]],0),0)</f>
        <v>6010553</v>
      </c>
      <c r="S41" s="186">
        <f>IFERROR(ROUND(VLOOKUP($A41,'2.4 Aloittaneet palaute'!$A:$K,COLUMN('2.4 Aloittaneet palaute'!J:J),FALSE),1),0)</f>
        <v>44143.4</v>
      </c>
      <c r="T41" s="20">
        <f>IFERROR(Ohj.lask.[[#This Row],[Painotetut pisteet 4]]/Ohj.lask.[[#Totals],[Painotetut pisteet 4]],0)</f>
        <v>2.6817702573031447E-2</v>
      </c>
      <c r="U41" s="23">
        <f>ROUND(IFERROR('1.1 Jakotaulu'!M$16*Ohj.lask.[[#This Row],[%-osuus 4]],0),0)</f>
        <v>307718</v>
      </c>
      <c r="V41" s="81">
        <f>IFERROR(ROUND(VLOOKUP($A41,'2.5 Päättäneet palaute'!$A:$AC,COLUMN('2.5 Päättäneet palaute'!AB:AB),FALSE),1),0)</f>
        <v>295347.8</v>
      </c>
      <c r="W41" s="20">
        <f>IFERROR(Ohj.lask.[[#This Row],[Painotetut pisteet 5]]/Ohj.lask.[[#Totals],[Painotetut pisteet 5]],0)</f>
        <v>3.42574297941899E-2</v>
      </c>
      <c r="X41" s="17">
        <f>ROUND(IFERROR('1.1 Jakotaulu'!M$17*Ohj.lask.[[#This Row],[%-osuus 5]],0),0)</f>
        <v>1179254</v>
      </c>
      <c r="Y41" s="19">
        <f>IFERROR(Ohj.lask.[[#This Row],[Jaettava € 6]]/Ohj.lask.[[#Totals],[Jaettava € 6]],"")</f>
        <v>3.4846775730994838E-2</v>
      </c>
      <c r="Z41" s="23">
        <f>IFERROR(Ohj.lask.[[#This Row],[Jaettava € 1]]+Ohj.lask.[[#This Row],[Jaettava € 2]]+Ohj.lask.[[#This Row],[Jaettava € 3]]+Ohj.lask.[[#This Row],[Jaettava € 4]]+Ohj.lask.[[#This Row],[Jaettava € 5]],"")</f>
        <v>63081167</v>
      </c>
      <c r="AA41" s="17">
        <v>0</v>
      </c>
      <c r="AB41" s="17">
        <v>0</v>
      </c>
      <c r="AC41" s="18">
        <v>0</v>
      </c>
      <c r="AD41" s="17">
        <v>0</v>
      </c>
      <c r="AE41" s="18">
        <v>0</v>
      </c>
      <c r="AF41" s="17">
        <v>0</v>
      </c>
      <c r="AG41" s="18">
        <v>270000</v>
      </c>
      <c r="AH41" s="17">
        <v>0</v>
      </c>
      <c r="AI41" s="18">
        <v>0</v>
      </c>
      <c r="AJ41" s="17">
        <v>0</v>
      </c>
      <c r="AK41" s="18">
        <v>0</v>
      </c>
      <c r="AL41" s="17">
        <v>0</v>
      </c>
      <c r="AM41" s="18">
        <v>0</v>
      </c>
      <c r="AN41" s="23">
        <v>0</v>
      </c>
      <c r="AO41" s="17">
        <v>50000</v>
      </c>
      <c r="AP41" s="17">
        <v>40000</v>
      </c>
      <c r="AQ41" s="18">
        <f>IFERROR(VLOOKUP(Ohj.lask.[[#This Row],[Y-tunnus]],#REF!,COLUMN(#REF!),FALSE),0)</f>
        <v>0</v>
      </c>
      <c r="AR41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40000</v>
      </c>
      <c r="AS41" s="17">
        <f>Ohj.lask.[[#This Row],[Jaettava € 1]]+Ohj.lask.[[#This Row],[Päätös, € 9]]</f>
        <v>41640372</v>
      </c>
      <c r="AT41" s="113">
        <f>Ohj.lask.[[#This Row],[Jaettava € 2]]</f>
        <v>13983270</v>
      </c>
      <c r="AU41" s="17">
        <f>Ohj.lask.[[#This Row],[Jaettava € 3]]+Ohj.lask.[[#This Row],[Jaettava € 4]]+Ohj.lask.[[#This Row],[Jaettava € 5]]</f>
        <v>7497525</v>
      </c>
      <c r="AV41" s="42">
        <f>Ohj.lask.[[#This Row],[Jaettava € 6]]+Ohj.lask.[[#This Row],[Päätös, € 9]]</f>
        <v>63121167</v>
      </c>
      <c r="AW41" s="42">
        <v>0</v>
      </c>
      <c r="AX41" s="23">
        <f>Ohj.lask.[[#This Row],[Perus-, suoritus- ja vaikuttavuusrahoitus yhteensä, €]]+Ohj.lask.[[#This Row],[Alv-korvaus, €]]</f>
        <v>63121167</v>
      </c>
    </row>
    <row r="42" spans="1:50" ht="12.75" x14ac:dyDescent="0.2">
      <c r="A42" s="134" t="s">
        <v>354</v>
      </c>
      <c r="B42" s="14" t="s">
        <v>47</v>
      </c>
      <c r="C42" s="107" t="s">
        <v>218</v>
      </c>
      <c r="D42" s="107" t="s">
        <v>392</v>
      </c>
      <c r="E42" s="107" t="s">
        <v>438</v>
      </c>
      <c r="F42" s="116">
        <v>166</v>
      </c>
      <c r="G42" s="124">
        <f>Ohj.lask.[[#This Row],[Tavoitteelliset opiskelija-vuodet]]-Ohj.lask.[[#This Row],[Järjestämisluvan opisk.vuosien vähimmäismäärä]]</f>
        <v>16</v>
      </c>
      <c r="H42" s="41">
        <v>182</v>
      </c>
      <c r="I42" s="15">
        <f>IFERROR(VLOOKUP($A42,'2.1 Toteut. op.vuodet'!$A:$T,COLUMN('2.1 Toteut. op.vuodet'!T:T),FALSE),0)</f>
        <v>0.96226469345093268</v>
      </c>
      <c r="J42" s="81">
        <f t="shared" si="1"/>
        <v>175.1</v>
      </c>
      <c r="K42" s="16">
        <f>IFERROR(Ohj.lask.[[#This Row],[Painotetut opiskelija-vuodet]]/Ohj.lask.[[#Totals],[Painotetut opiskelija-vuodet]],0)</f>
        <v>8.5510071728836913E-4</v>
      </c>
      <c r="L42" s="17">
        <f>ROUND(IFERROR('1.1 Jakotaulu'!L$11*Ohj.lask.[[#This Row],[%-osuus 1]],0),0)</f>
        <v>1076975</v>
      </c>
      <c r="M42" s="186">
        <f>IFERROR(ROUND(VLOOKUP($A42,'2.2 Tutk. ja osien pain. pist.'!$A:$Q,COLUMN('2.2 Tutk. ja osien pain. pist.'!P:P),FALSE),1),0)</f>
        <v>19373.5</v>
      </c>
      <c r="N42" s="16">
        <f>IFERROR(Ohj.lask.[[#This Row],[Painotetut pisteet 2]]/Ohj.lask.[[#Totals],[Painotetut pisteet 2]],0)</f>
        <v>1.2437023505553937E-3</v>
      </c>
      <c r="O42" s="23">
        <f>ROUND(IFERROR('1.1 Jakotaulu'!K$12*Ohj.lask.[[#This Row],[%-osuus 2]],0),0)</f>
        <v>456665</v>
      </c>
      <c r="P42" s="187">
        <f>IFERROR(ROUND(VLOOKUP($A42,'2.3 Työll. ja jatko-opisk.'!$A:$K,COLUMN('2.3 Työll. ja jatko-opisk.'!I:I),FALSE),1),0)</f>
        <v>196.5</v>
      </c>
      <c r="Q42" s="20">
        <f>IFERROR(Ohj.lask.[[#This Row],[Painotetut pisteet 3]]/Ohj.lask.[[#Totals],[Painotetut pisteet 3]],0)</f>
        <v>9.8732356929780466E-4</v>
      </c>
      <c r="R42" s="17">
        <f>ROUND(IFERROR('1.1 Jakotaulu'!L$14*Ohj.lask.[[#This Row],[%-osuus 3]],0),0)</f>
        <v>135948</v>
      </c>
      <c r="S42" s="186">
        <f>IFERROR(ROUND(VLOOKUP($A42,'2.4 Aloittaneet palaute'!$A:$K,COLUMN('2.4 Aloittaneet palaute'!J:J),FALSE),1),0)</f>
        <v>2177.6</v>
      </c>
      <c r="T42" s="20">
        <f>IFERROR(Ohj.lask.[[#This Row],[Painotetut pisteet 4]]/Ohj.lask.[[#Totals],[Painotetut pisteet 4]],0)</f>
        <v>1.3229209603934739E-3</v>
      </c>
      <c r="U42" s="23">
        <f>ROUND(IFERROR('1.1 Jakotaulu'!M$16*Ohj.lask.[[#This Row],[%-osuus 4]],0),0)</f>
        <v>15180</v>
      </c>
      <c r="V42" s="81">
        <f>IFERROR(ROUND(VLOOKUP($A42,'2.5 Päättäneet palaute'!$A:$AC,COLUMN('2.5 Päättäneet palaute'!AB:AB),FALSE),1),0)</f>
        <v>8848</v>
      </c>
      <c r="W42" s="20">
        <f>IFERROR(Ohj.lask.[[#This Row],[Painotetut pisteet 5]]/Ohj.lask.[[#Totals],[Painotetut pisteet 5]],0)</f>
        <v>1.0262806725460363E-3</v>
      </c>
      <c r="X42" s="17">
        <f>ROUND(IFERROR('1.1 Jakotaulu'!M$17*Ohj.lask.[[#This Row],[%-osuus 5]],0),0)</f>
        <v>35328</v>
      </c>
      <c r="Y42" s="19">
        <f>IFERROR(Ohj.lask.[[#This Row],[Jaettava € 6]]/Ohj.lask.[[#Totals],[Jaettava € 6]],"")</f>
        <v>9.5020118362396967E-4</v>
      </c>
      <c r="Z42" s="23">
        <f>IFERROR(Ohj.lask.[[#This Row],[Jaettava € 1]]+Ohj.lask.[[#This Row],[Jaettava € 2]]+Ohj.lask.[[#This Row],[Jaettava € 3]]+Ohj.lask.[[#This Row],[Jaettava € 4]]+Ohj.lask.[[#This Row],[Jaettava € 5]],"")</f>
        <v>1720096</v>
      </c>
      <c r="AA42" s="17">
        <v>0</v>
      </c>
      <c r="AB42" s="17">
        <v>0</v>
      </c>
      <c r="AC42" s="18">
        <v>0</v>
      </c>
      <c r="AD42" s="17">
        <v>0</v>
      </c>
      <c r="AE42" s="18">
        <v>0</v>
      </c>
      <c r="AF42" s="17">
        <v>0</v>
      </c>
      <c r="AG42" s="18">
        <v>0</v>
      </c>
      <c r="AH42" s="17">
        <v>0</v>
      </c>
      <c r="AI42" s="18">
        <v>0</v>
      </c>
      <c r="AJ42" s="17">
        <v>0</v>
      </c>
      <c r="AK42" s="18">
        <v>0</v>
      </c>
      <c r="AL42" s="17">
        <v>0</v>
      </c>
      <c r="AM42" s="18">
        <v>20000</v>
      </c>
      <c r="AN42" s="23">
        <v>0</v>
      </c>
      <c r="AO42" s="17">
        <v>0</v>
      </c>
      <c r="AP42" s="17">
        <v>0</v>
      </c>
      <c r="AQ42" s="18">
        <f>IFERROR(VLOOKUP(Ohj.lask.[[#This Row],[Y-tunnus]],#REF!,COLUMN(#REF!),FALSE),0)</f>
        <v>0</v>
      </c>
      <c r="AR42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42" s="17">
        <f>Ohj.lask.[[#This Row],[Jaettava € 1]]+Ohj.lask.[[#This Row],[Päätös, € 9]]</f>
        <v>1076975</v>
      </c>
      <c r="AT42" s="113">
        <f>Ohj.lask.[[#This Row],[Jaettava € 2]]</f>
        <v>456665</v>
      </c>
      <c r="AU42" s="17">
        <f>Ohj.lask.[[#This Row],[Jaettava € 3]]+Ohj.lask.[[#This Row],[Jaettava € 4]]+Ohj.lask.[[#This Row],[Jaettava € 5]]</f>
        <v>186456</v>
      </c>
      <c r="AV42" s="42">
        <f>Ohj.lask.[[#This Row],[Jaettava € 6]]+Ohj.lask.[[#This Row],[Päätös, € 9]]</f>
        <v>1720096</v>
      </c>
      <c r="AW42" s="42">
        <v>2241</v>
      </c>
      <c r="AX42" s="23">
        <f>Ohj.lask.[[#This Row],[Perus-, suoritus- ja vaikuttavuusrahoitus yhteensä, €]]+Ohj.lask.[[#This Row],[Alv-korvaus, €]]</f>
        <v>1722337</v>
      </c>
    </row>
    <row r="43" spans="1:50" ht="12.75" x14ac:dyDescent="0.2">
      <c r="A43" s="134" t="s">
        <v>353</v>
      </c>
      <c r="B43" s="14" t="s">
        <v>48</v>
      </c>
      <c r="C43" s="14" t="s">
        <v>218</v>
      </c>
      <c r="D43" s="14" t="s">
        <v>392</v>
      </c>
      <c r="E43" s="14" t="s">
        <v>438</v>
      </c>
      <c r="F43" s="117">
        <v>118</v>
      </c>
      <c r="G43" s="124">
        <f>Ohj.lask.[[#This Row],[Tavoitteelliset opiskelija-vuodet]]-Ohj.lask.[[#This Row],[Järjestämisluvan opisk.vuosien vähimmäismäärä]]</f>
        <v>7</v>
      </c>
      <c r="H43" s="41">
        <v>125</v>
      </c>
      <c r="I43" s="15">
        <f>IFERROR(VLOOKUP($A43,'2.1 Toteut. op.vuodet'!$A:$T,COLUMN('2.1 Toteut. op.vuodet'!T:T),FALSE),0)</f>
        <v>1.0869287970942842</v>
      </c>
      <c r="J43" s="81">
        <f t="shared" si="1"/>
        <v>135.9</v>
      </c>
      <c r="K43" s="16">
        <f>IFERROR(Ohj.lask.[[#This Row],[Painotetut opiskelija-vuodet]]/Ohj.lask.[[#Totals],[Painotetut opiskelija-vuodet]],0)</f>
        <v>6.6366754699879712E-4</v>
      </c>
      <c r="L43" s="17">
        <f>ROUND(IFERROR('1.1 Jakotaulu'!L$11*Ohj.lask.[[#This Row],[%-osuus 1]],0),0)</f>
        <v>835870</v>
      </c>
      <c r="M43" s="186">
        <f>IFERROR(ROUND(VLOOKUP($A43,'2.2 Tutk. ja osien pain. pist.'!$A:$Q,COLUMN('2.2 Tutk. ja osien pain. pist.'!P:P),FALSE),1),0)</f>
        <v>18182.400000000001</v>
      </c>
      <c r="N43" s="16">
        <f>IFERROR(Ohj.lask.[[#This Row],[Painotetut pisteet 2]]/Ohj.lask.[[#Totals],[Painotetut pisteet 2]],0)</f>
        <v>1.1672384245871108E-3</v>
      </c>
      <c r="O43" s="23">
        <f>ROUND(IFERROR('1.1 Jakotaulu'!K$12*Ohj.lask.[[#This Row],[%-osuus 2]],0),0)</f>
        <v>428589</v>
      </c>
      <c r="P43" s="187">
        <f>IFERROR(ROUND(VLOOKUP($A43,'2.3 Työll. ja jatko-opisk.'!$A:$K,COLUMN('2.3 Työll. ja jatko-opisk.'!I:I),FALSE),1),0)</f>
        <v>112.2</v>
      </c>
      <c r="Q43" s="16">
        <f>IFERROR(Ohj.lask.[[#This Row],[Painotetut pisteet 3]]/Ohj.lask.[[#Totals],[Painotetut pisteet 3]],0)</f>
        <v>5.6375422124790679E-4</v>
      </c>
      <c r="R43" s="17">
        <f>ROUND(IFERROR('1.1 Jakotaulu'!L$14*Ohj.lask.[[#This Row],[%-osuus 3]],0),0)</f>
        <v>77625</v>
      </c>
      <c r="S43" s="186">
        <f>IFERROR(ROUND(VLOOKUP($A43,'2.4 Aloittaneet palaute'!$A:$K,COLUMN('2.4 Aloittaneet palaute'!J:J),FALSE),1),0)</f>
        <v>1233.9000000000001</v>
      </c>
      <c r="T43" s="20">
        <f>IFERROR(Ohj.lask.[[#This Row],[Painotetut pisteet 4]]/Ohj.lask.[[#Totals],[Painotetut pisteet 4]],0)</f>
        <v>7.4961065991435878E-4</v>
      </c>
      <c r="U43" s="23">
        <f>ROUND(IFERROR('1.1 Jakotaulu'!M$16*Ohj.lask.[[#This Row],[%-osuus 4]],0),0)</f>
        <v>8601</v>
      </c>
      <c r="V43" s="81">
        <f>IFERROR(ROUND(VLOOKUP($A43,'2.5 Päättäneet palaute'!$A:$AC,COLUMN('2.5 Päättäneet palaute'!AB:AB),FALSE),1),0)</f>
        <v>9725.7000000000007</v>
      </c>
      <c r="W43" s="20">
        <f>IFERROR(Ohj.lask.[[#This Row],[Painotetut pisteet 5]]/Ohj.lask.[[#Totals],[Painotetut pisteet 5]],0)</f>
        <v>1.1280852098757895E-3</v>
      </c>
      <c r="X43" s="17">
        <f>ROUND(IFERROR('1.1 Jakotaulu'!M$17*Ohj.lask.[[#This Row],[%-osuus 5]],0),0)</f>
        <v>38832</v>
      </c>
      <c r="Y43" s="19">
        <f>IFERROR(Ohj.lask.[[#This Row],[Jaettava € 6]]/Ohj.lask.[[#Totals],[Jaettava € 6]],"")</f>
        <v>7.6758547084908486E-4</v>
      </c>
      <c r="Z43" s="23">
        <f>IFERROR(Ohj.lask.[[#This Row],[Jaettava € 1]]+Ohj.lask.[[#This Row],[Jaettava € 2]]+Ohj.lask.[[#This Row],[Jaettava € 3]]+Ohj.lask.[[#This Row],[Jaettava € 4]]+Ohj.lask.[[#This Row],[Jaettava € 5]],"")</f>
        <v>1389517</v>
      </c>
      <c r="AA43" s="17">
        <v>0</v>
      </c>
      <c r="AB43" s="17">
        <v>0</v>
      </c>
      <c r="AC43" s="18">
        <v>0</v>
      </c>
      <c r="AD43" s="17">
        <v>0</v>
      </c>
      <c r="AE43" s="18">
        <v>0</v>
      </c>
      <c r="AF43" s="17">
        <v>0</v>
      </c>
      <c r="AG43" s="18">
        <v>0</v>
      </c>
      <c r="AH43" s="17">
        <v>0</v>
      </c>
      <c r="AI43" s="18">
        <v>0</v>
      </c>
      <c r="AJ43" s="17">
        <v>0</v>
      </c>
      <c r="AK43" s="18">
        <v>0</v>
      </c>
      <c r="AL43" s="17">
        <v>0</v>
      </c>
      <c r="AM43" s="18">
        <v>15000</v>
      </c>
      <c r="AN43" s="23">
        <v>0</v>
      </c>
      <c r="AO43" s="17">
        <v>0</v>
      </c>
      <c r="AP43" s="17">
        <v>0</v>
      </c>
      <c r="AQ43" s="18">
        <f>IFERROR(VLOOKUP(Ohj.lask.[[#This Row],[Y-tunnus]],#REF!,COLUMN(#REF!),FALSE),0)</f>
        <v>0</v>
      </c>
      <c r="AR43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43" s="17">
        <f>Ohj.lask.[[#This Row],[Jaettava € 1]]+Ohj.lask.[[#This Row],[Päätös, € 9]]</f>
        <v>835870</v>
      </c>
      <c r="AT43" s="113">
        <f>Ohj.lask.[[#This Row],[Jaettava € 2]]</f>
        <v>428589</v>
      </c>
      <c r="AU43" s="17">
        <f>Ohj.lask.[[#This Row],[Jaettava € 3]]+Ohj.lask.[[#This Row],[Jaettava € 4]]+Ohj.lask.[[#This Row],[Jaettava € 5]]</f>
        <v>125058</v>
      </c>
      <c r="AV43" s="42">
        <f>Ohj.lask.[[#This Row],[Jaettava € 6]]+Ohj.lask.[[#This Row],[Päätös, € 9]]</f>
        <v>1389517</v>
      </c>
      <c r="AW43" s="42">
        <v>60042</v>
      </c>
      <c r="AX43" s="23">
        <f>Ohj.lask.[[#This Row],[Perus-, suoritus- ja vaikuttavuusrahoitus yhteensä, €]]+Ohj.lask.[[#This Row],[Alv-korvaus, €]]</f>
        <v>1449559</v>
      </c>
    </row>
    <row r="44" spans="1:50" ht="12.75" x14ac:dyDescent="0.2">
      <c r="A44" s="134" t="s">
        <v>348</v>
      </c>
      <c r="B44" s="14" t="s">
        <v>49</v>
      </c>
      <c r="C44" s="14" t="s">
        <v>249</v>
      </c>
      <c r="D44" s="14" t="s">
        <v>391</v>
      </c>
      <c r="E44" s="14" t="s">
        <v>438</v>
      </c>
      <c r="F44" s="117">
        <v>555</v>
      </c>
      <c r="G44" s="124">
        <f>Ohj.lask.[[#This Row],[Tavoitteelliset opiskelija-vuodet]]-Ohj.lask.[[#This Row],[Järjestämisluvan opisk.vuosien vähimmäismäärä]]</f>
        <v>0</v>
      </c>
      <c r="H44" s="41">
        <v>555</v>
      </c>
      <c r="I44" s="15">
        <f>IFERROR(VLOOKUP($A44,'2.1 Toteut. op.vuodet'!$A:$T,COLUMN('2.1 Toteut. op.vuodet'!T:T),FALSE),0)</f>
        <v>1.2051429757650984</v>
      </c>
      <c r="J44" s="81">
        <f t="shared" si="1"/>
        <v>668.9</v>
      </c>
      <c r="K44" s="16">
        <f>IFERROR(Ohj.lask.[[#This Row],[Painotetut opiskelija-vuodet]]/Ohj.lask.[[#Totals],[Painotetut opiskelija-vuodet]],0)</f>
        <v>3.2665726430279275E-3</v>
      </c>
      <c r="L44" s="17">
        <f>ROUND(IFERROR('1.1 Jakotaulu'!L$11*Ohj.lask.[[#This Row],[%-osuus 1]],0),0)</f>
        <v>4114154</v>
      </c>
      <c r="M44" s="186">
        <f>IFERROR(ROUND(VLOOKUP($A44,'2.2 Tutk. ja osien pain. pist.'!$A:$Q,COLUMN('2.2 Tutk. ja osien pain. pist.'!P:P),FALSE),1),0)</f>
        <v>66230.399999999994</v>
      </c>
      <c r="N44" s="16">
        <f>IFERROR(Ohj.lask.[[#This Row],[Painotetut pisteet 2]]/Ohj.lask.[[#Totals],[Painotetut pisteet 2]],0)</f>
        <v>4.2517306711861019E-3</v>
      </c>
      <c r="O44" s="23">
        <f>ROUND(IFERROR('1.1 Jakotaulu'!K$12*Ohj.lask.[[#This Row],[%-osuus 2]],0),0)</f>
        <v>1561159</v>
      </c>
      <c r="P44" s="187">
        <f>IFERROR(ROUND(VLOOKUP($A44,'2.3 Työll. ja jatko-opisk.'!$A:$K,COLUMN('2.3 Työll. ja jatko-opisk.'!I:I),FALSE),1),0)</f>
        <v>572.1</v>
      </c>
      <c r="Q44" s="16">
        <f>IFERROR(Ohj.lask.[[#This Row],[Painotetut pisteet 3]]/Ohj.lask.[[#Totals],[Painotetut pisteet 3]],0)</f>
        <v>2.8745435826731509E-3</v>
      </c>
      <c r="R44" s="17">
        <f>ROUND(IFERROR('1.1 Jakotaulu'!L$14*Ohj.lask.[[#This Row],[%-osuus 3]],0),0)</f>
        <v>395805</v>
      </c>
      <c r="S44" s="186">
        <f>IFERROR(ROUND(VLOOKUP($A44,'2.4 Aloittaneet palaute'!$A:$K,COLUMN('2.4 Aloittaneet palaute'!J:J),FALSE),1),0)</f>
        <v>3293.4</v>
      </c>
      <c r="T44" s="20">
        <f>IFERROR(Ohj.lask.[[#This Row],[Painotetut pisteet 4]]/Ohj.lask.[[#Totals],[Painotetut pisteet 4]],0)</f>
        <v>2.0007842996693E-3</v>
      </c>
      <c r="U44" s="23">
        <f>ROUND(IFERROR('1.1 Jakotaulu'!M$16*Ohj.lask.[[#This Row],[%-osuus 4]],0),0)</f>
        <v>22958</v>
      </c>
      <c r="V44" s="81">
        <f>IFERROR(ROUND(VLOOKUP($A44,'2.5 Päättäneet palaute'!$A:$AC,COLUMN('2.5 Päättäneet palaute'!AB:AB),FALSE),1),0)</f>
        <v>20845.900000000001</v>
      </c>
      <c r="W44" s="20">
        <f>IFERROR(Ohj.lask.[[#This Row],[Painotetut pisteet 5]]/Ohj.lask.[[#Totals],[Painotetut pisteet 5]],0)</f>
        <v>2.4179186564000248E-3</v>
      </c>
      <c r="X44" s="17">
        <f>ROUND(IFERROR('1.1 Jakotaulu'!M$17*Ohj.lask.[[#This Row],[%-osuus 5]],0),0)</f>
        <v>83233</v>
      </c>
      <c r="Y44" s="19">
        <f>IFERROR(Ohj.lask.[[#This Row],[Jaettava € 6]]/Ohj.lask.[[#Totals],[Jaettava € 6]],"")</f>
        <v>3.4124178670324216E-3</v>
      </c>
      <c r="Z44" s="23">
        <f>IFERROR(Ohj.lask.[[#This Row],[Jaettava € 1]]+Ohj.lask.[[#This Row],[Jaettava € 2]]+Ohj.lask.[[#This Row],[Jaettava € 3]]+Ohj.lask.[[#This Row],[Jaettava € 4]]+Ohj.lask.[[#This Row],[Jaettava € 5]],"")</f>
        <v>6177309</v>
      </c>
      <c r="AA44" s="17">
        <v>70000</v>
      </c>
      <c r="AB44" s="17">
        <v>0</v>
      </c>
      <c r="AC44" s="18">
        <v>0</v>
      </c>
      <c r="AD44" s="17">
        <v>0</v>
      </c>
      <c r="AE44" s="18">
        <v>0</v>
      </c>
      <c r="AF44" s="17">
        <v>0</v>
      </c>
      <c r="AG44" s="18">
        <v>300000</v>
      </c>
      <c r="AH44" s="17">
        <v>0</v>
      </c>
      <c r="AI44" s="18">
        <v>0</v>
      </c>
      <c r="AJ44" s="17">
        <v>0</v>
      </c>
      <c r="AK44" s="18">
        <v>0</v>
      </c>
      <c r="AL44" s="17">
        <v>0</v>
      </c>
      <c r="AM44" s="18">
        <v>57000</v>
      </c>
      <c r="AN44" s="23">
        <v>30000</v>
      </c>
      <c r="AO44" s="17">
        <v>0</v>
      </c>
      <c r="AP44" s="17">
        <v>0</v>
      </c>
      <c r="AQ44" s="18">
        <f>IFERROR(VLOOKUP(Ohj.lask.[[#This Row],[Y-tunnus]],#REF!,COLUMN(#REF!),FALSE),0)</f>
        <v>0</v>
      </c>
      <c r="AR44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30000</v>
      </c>
      <c r="AS44" s="17">
        <f>Ohj.lask.[[#This Row],[Jaettava € 1]]+Ohj.lask.[[#This Row],[Päätös, € 9]]</f>
        <v>4144154</v>
      </c>
      <c r="AT44" s="113">
        <f>Ohj.lask.[[#This Row],[Jaettava € 2]]</f>
        <v>1561159</v>
      </c>
      <c r="AU44" s="17">
        <f>Ohj.lask.[[#This Row],[Jaettava € 3]]+Ohj.lask.[[#This Row],[Jaettava € 4]]+Ohj.lask.[[#This Row],[Jaettava € 5]]</f>
        <v>501996</v>
      </c>
      <c r="AV44" s="42">
        <f>Ohj.lask.[[#This Row],[Jaettava € 6]]+Ohj.lask.[[#This Row],[Päätös, € 9]]</f>
        <v>6207309</v>
      </c>
      <c r="AW44" s="42">
        <v>0</v>
      </c>
      <c r="AX44" s="23">
        <f>Ohj.lask.[[#This Row],[Perus-, suoritus- ja vaikuttavuusrahoitus yhteensä, €]]+Ohj.lask.[[#This Row],[Alv-korvaus, €]]</f>
        <v>6207309</v>
      </c>
    </row>
    <row r="45" spans="1:50" ht="12.75" x14ac:dyDescent="0.2">
      <c r="A45" s="134" t="s">
        <v>431</v>
      </c>
      <c r="B45" s="14" t="s">
        <v>432</v>
      </c>
      <c r="C45" s="14" t="s">
        <v>226</v>
      </c>
      <c r="D45" s="14" t="s">
        <v>392</v>
      </c>
      <c r="E45" s="14" t="s">
        <v>438</v>
      </c>
      <c r="F45" s="117">
        <v>0</v>
      </c>
      <c r="G45" s="124">
        <f>Ohj.lask.[[#This Row],[Tavoitteelliset opiskelija-vuodet]]-Ohj.lask.[[#This Row],[Järjestämisluvan opisk.vuosien vähimmäismäärä]]</f>
        <v>0</v>
      </c>
      <c r="H45" s="41">
        <v>0</v>
      </c>
      <c r="I45" s="15">
        <f>IFERROR(VLOOKUP($A45,'2.1 Toteut. op.vuodet'!$A:$T,COLUMN('2.1 Toteut. op.vuodet'!T:T),FALSE),0)</f>
        <v>0</v>
      </c>
      <c r="J45" s="81">
        <f t="shared" si="1"/>
        <v>0</v>
      </c>
      <c r="K45" s="16">
        <f>IFERROR(Ohj.lask.[[#This Row],[Painotetut opiskelija-vuodet]]/Ohj.lask.[[#Totals],[Painotetut opiskelija-vuodet]],0)</f>
        <v>0</v>
      </c>
      <c r="L45" s="17">
        <f>ROUND(IFERROR('1.1 Jakotaulu'!L$11*Ohj.lask.[[#This Row],[%-osuus 1]],0),0)</f>
        <v>0</v>
      </c>
      <c r="M45" s="186">
        <f>IFERROR(ROUND(VLOOKUP($A45,'2.2 Tutk. ja osien pain. pist.'!$A:$Q,COLUMN('2.2 Tutk. ja osien pain. pist.'!P:P),FALSE),1),0)</f>
        <v>0</v>
      </c>
      <c r="N45" s="16">
        <f>IFERROR(Ohj.lask.[[#This Row],[Painotetut pisteet 2]]/Ohj.lask.[[#Totals],[Painotetut pisteet 2]],0)</f>
        <v>0</v>
      </c>
      <c r="O45" s="23">
        <f>ROUND(IFERROR('1.1 Jakotaulu'!K$12*Ohj.lask.[[#This Row],[%-osuus 2]],0),0)</f>
        <v>0</v>
      </c>
      <c r="P45" s="187">
        <f>IFERROR(ROUND(VLOOKUP($A45,'2.3 Työll. ja jatko-opisk.'!$A:$K,COLUMN('2.3 Työll. ja jatko-opisk.'!I:I),FALSE),1),0)</f>
        <v>0</v>
      </c>
      <c r="Q45" s="16">
        <f>IFERROR(Ohj.lask.[[#This Row],[Painotetut pisteet 3]]/Ohj.lask.[[#Totals],[Painotetut pisteet 3]],0)</f>
        <v>0</v>
      </c>
      <c r="R45" s="17">
        <f>ROUND(IFERROR('1.1 Jakotaulu'!L$14*Ohj.lask.[[#This Row],[%-osuus 3]],0),0)</f>
        <v>0</v>
      </c>
      <c r="S45" s="186">
        <f>IFERROR(ROUND(VLOOKUP($A45,'2.4 Aloittaneet palaute'!$A:$K,COLUMN('2.4 Aloittaneet palaute'!J:J),FALSE),1),0)</f>
        <v>0</v>
      </c>
      <c r="T45" s="20">
        <f>IFERROR(Ohj.lask.[[#This Row],[Painotetut pisteet 4]]/Ohj.lask.[[#Totals],[Painotetut pisteet 4]],0)</f>
        <v>0</v>
      </c>
      <c r="U45" s="23">
        <f>ROUND(IFERROR('1.1 Jakotaulu'!M$16*Ohj.lask.[[#This Row],[%-osuus 4]],0),0)</f>
        <v>0</v>
      </c>
      <c r="V45" s="81">
        <f>IFERROR(ROUND(VLOOKUP($A45,'2.5 Päättäneet palaute'!$A:$AC,COLUMN('2.5 Päättäneet palaute'!AB:AB),FALSE),1),0)</f>
        <v>0</v>
      </c>
      <c r="W45" s="20">
        <f>IFERROR(Ohj.lask.[[#This Row],[Painotetut pisteet 5]]/Ohj.lask.[[#Totals],[Painotetut pisteet 5]],0)</f>
        <v>0</v>
      </c>
      <c r="X45" s="17">
        <f>ROUND(IFERROR('1.1 Jakotaulu'!M$17*Ohj.lask.[[#This Row],[%-osuus 5]],0),0)</f>
        <v>0</v>
      </c>
      <c r="Y45" s="19">
        <f>IFERROR(Ohj.lask.[[#This Row],[Jaettava € 6]]/Ohj.lask.[[#Totals],[Jaettava € 6]],"")</f>
        <v>0</v>
      </c>
      <c r="Z45" s="23">
        <f>IFERROR(Ohj.lask.[[#This Row],[Jaettava € 1]]+Ohj.lask.[[#This Row],[Jaettava € 2]]+Ohj.lask.[[#This Row],[Jaettava € 3]]+Ohj.lask.[[#This Row],[Jaettava € 4]]+Ohj.lask.[[#This Row],[Jaettava € 5]],"")</f>
        <v>0</v>
      </c>
      <c r="AA45" s="17">
        <v>0</v>
      </c>
      <c r="AB45" s="17">
        <v>0</v>
      </c>
      <c r="AC45" s="18">
        <v>0</v>
      </c>
      <c r="AD45" s="17">
        <v>0</v>
      </c>
      <c r="AE45" s="18">
        <v>0</v>
      </c>
      <c r="AF45" s="17">
        <v>0</v>
      </c>
      <c r="AG45" s="18">
        <v>0</v>
      </c>
      <c r="AH45" s="17">
        <v>0</v>
      </c>
      <c r="AI45" s="18">
        <v>0</v>
      </c>
      <c r="AJ45" s="17">
        <v>0</v>
      </c>
      <c r="AK45" s="18">
        <v>0</v>
      </c>
      <c r="AL45" s="17">
        <v>0</v>
      </c>
      <c r="AM45" s="18">
        <v>0</v>
      </c>
      <c r="AN45" s="23">
        <v>0</v>
      </c>
      <c r="AO45" s="17">
        <v>0</v>
      </c>
      <c r="AP45" s="17">
        <v>0</v>
      </c>
      <c r="AQ45" s="18">
        <f>IFERROR(VLOOKUP(Ohj.lask.[[#This Row],[Y-tunnus]],#REF!,COLUMN(#REF!),FALSE),0)</f>
        <v>0</v>
      </c>
      <c r="AR45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45" s="17">
        <f>Ohj.lask.[[#This Row],[Jaettava € 1]]+Ohj.lask.[[#This Row],[Päätös, € 9]]</f>
        <v>0</v>
      </c>
      <c r="AT45" s="113">
        <f>Ohj.lask.[[#This Row],[Jaettava € 2]]</f>
        <v>0</v>
      </c>
      <c r="AU45" s="17">
        <f>Ohj.lask.[[#This Row],[Jaettava € 3]]+Ohj.lask.[[#This Row],[Jaettava € 4]]+Ohj.lask.[[#This Row],[Jaettava € 5]]</f>
        <v>0</v>
      </c>
      <c r="AV45" s="42">
        <f>Ohj.lask.[[#This Row],[Jaettava € 6]]+Ohj.lask.[[#This Row],[Päätös, € 9]]</f>
        <v>0</v>
      </c>
      <c r="AW45" s="42">
        <v>0</v>
      </c>
      <c r="AX45" s="23">
        <f>Ohj.lask.[[#This Row],[Perus-, suoritus- ja vaikuttavuusrahoitus yhteensä, €]]+Ohj.lask.[[#This Row],[Alv-korvaus, €]]</f>
        <v>0</v>
      </c>
    </row>
    <row r="46" spans="1:50" ht="12.75" x14ac:dyDescent="0.2">
      <c r="A46" s="134" t="s">
        <v>347</v>
      </c>
      <c r="B46" s="14" t="s">
        <v>50</v>
      </c>
      <c r="C46" s="14" t="s">
        <v>226</v>
      </c>
      <c r="D46" s="14" t="s">
        <v>393</v>
      </c>
      <c r="E46" s="14" t="s">
        <v>438</v>
      </c>
      <c r="F46" s="117">
        <v>2561</v>
      </c>
      <c r="G46" s="124">
        <f>Ohj.lask.[[#This Row],[Tavoitteelliset opiskelija-vuodet]]-Ohj.lask.[[#This Row],[Järjestämisluvan opisk.vuosien vähimmäismäärä]]</f>
        <v>288</v>
      </c>
      <c r="H46" s="41">
        <v>2849</v>
      </c>
      <c r="I46" s="15">
        <f>IFERROR(VLOOKUP($A46,'2.1 Toteut. op.vuodet'!$A:$T,COLUMN('2.1 Toteut. op.vuodet'!T:T),FALSE),0)</f>
        <v>1.0768848834446423</v>
      </c>
      <c r="J46" s="81">
        <f t="shared" si="1"/>
        <v>3068</v>
      </c>
      <c r="K46" s="16">
        <f>IFERROR(Ohj.lask.[[#This Row],[Painotetut opiskelija-vuodet]]/Ohj.lask.[[#Totals],[Painotetut opiskelija-vuodet]],0)</f>
        <v>1.4982575674704263E-2</v>
      </c>
      <c r="L46" s="17">
        <f>ROUND(IFERROR('1.1 Jakotaulu'!L$11*Ohj.lask.[[#This Row],[%-osuus 1]],0),0)</f>
        <v>18870120</v>
      </c>
      <c r="M46" s="186">
        <f>IFERROR(ROUND(VLOOKUP($A46,'2.2 Tutk. ja osien pain. pist.'!$A:$Q,COLUMN('2.2 Tutk. ja osien pain. pist.'!P:P),FALSE),1),0)</f>
        <v>235705.2</v>
      </c>
      <c r="N46" s="16">
        <f>IFERROR(Ohj.lask.[[#This Row],[Painotetut pisteet 2]]/Ohj.lask.[[#Totals],[Painotetut pisteet 2]],0)</f>
        <v>1.5131344944286227E-2</v>
      </c>
      <c r="O46" s="23">
        <f>ROUND(IFERROR('1.1 Jakotaulu'!K$12*Ohj.lask.[[#This Row],[%-osuus 2]],0),0)</f>
        <v>5555957</v>
      </c>
      <c r="P46" s="187">
        <f>IFERROR(ROUND(VLOOKUP($A46,'2.3 Työll. ja jatko-opisk.'!$A:$K,COLUMN('2.3 Työll. ja jatko-opisk.'!I:I),FALSE),1),0)</f>
        <v>3621.7</v>
      </c>
      <c r="Q46" s="16">
        <f>IFERROR(Ohj.lask.[[#This Row],[Painotetut pisteet 3]]/Ohj.lask.[[#Totals],[Painotetut pisteet 3]],0)</f>
        <v>1.8197403414380964E-2</v>
      </c>
      <c r="R46" s="17">
        <f>ROUND(IFERROR('1.1 Jakotaulu'!L$14*Ohj.lask.[[#This Row],[%-osuus 3]],0),0)</f>
        <v>2505660</v>
      </c>
      <c r="S46" s="186">
        <f>IFERROR(ROUND(VLOOKUP($A46,'2.4 Aloittaneet palaute'!$A:$K,COLUMN('2.4 Aloittaneet palaute'!J:J),FALSE),1),0)</f>
        <v>28532.6</v>
      </c>
      <c r="T46" s="20">
        <f>IFERROR(Ohj.lask.[[#This Row],[Painotetut pisteet 4]]/Ohj.lask.[[#Totals],[Painotetut pisteet 4]],0)</f>
        <v>1.7333933961481831E-2</v>
      </c>
      <c r="U46" s="23">
        <f>ROUND(IFERROR('1.1 Jakotaulu'!M$16*Ohj.lask.[[#This Row],[%-osuus 4]],0),0)</f>
        <v>198897</v>
      </c>
      <c r="V46" s="81">
        <f>IFERROR(ROUND(VLOOKUP($A46,'2.5 Päättäneet palaute'!$A:$AC,COLUMN('2.5 Päättäneet palaute'!AB:AB),FALSE),1),0)</f>
        <v>167223.9</v>
      </c>
      <c r="W46" s="20">
        <f>IFERROR(Ohj.lask.[[#This Row],[Painotetut pisteet 5]]/Ohj.lask.[[#Totals],[Painotetut pisteet 5]],0)</f>
        <v>1.9396321943690228E-2</v>
      </c>
      <c r="X46" s="17">
        <f>ROUND(IFERROR('1.1 Jakotaulu'!M$17*Ohj.lask.[[#This Row],[%-osuus 5]],0),0)</f>
        <v>667686</v>
      </c>
      <c r="Y46" s="19">
        <f>IFERROR(Ohj.lask.[[#This Row],[Jaettava € 6]]/Ohj.lask.[[#Totals],[Jaettava € 6]],"")</f>
        <v>1.5356117662478064E-2</v>
      </c>
      <c r="Z46" s="23">
        <f>IFERROR(Ohj.lask.[[#This Row],[Jaettava € 1]]+Ohj.lask.[[#This Row],[Jaettava € 2]]+Ohj.lask.[[#This Row],[Jaettava € 3]]+Ohj.lask.[[#This Row],[Jaettava € 4]]+Ohj.lask.[[#This Row],[Jaettava € 5]],"")</f>
        <v>27798320</v>
      </c>
      <c r="AA46" s="17">
        <v>0</v>
      </c>
      <c r="AB46" s="17">
        <v>0</v>
      </c>
      <c r="AC46" s="18">
        <v>0</v>
      </c>
      <c r="AD46" s="17">
        <v>0</v>
      </c>
      <c r="AE46" s="18">
        <v>0</v>
      </c>
      <c r="AF46" s="17">
        <v>0</v>
      </c>
      <c r="AG46" s="18">
        <v>150000</v>
      </c>
      <c r="AH46" s="17">
        <v>0</v>
      </c>
      <c r="AI46" s="18">
        <v>0</v>
      </c>
      <c r="AJ46" s="17">
        <v>0</v>
      </c>
      <c r="AK46" s="18">
        <v>0</v>
      </c>
      <c r="AL46" s="17">
        <v>0</v>
      </c>
      <c r="AM46" s="18">
        <v>80000</v>
      </c>
      <c r="AN46" s="23">
        <v>80000</v>
      </c>
      <c r="AO46" s="17">
        <v>0</v>
      </c>
      <c r="AP46" s="17">
        <v>0</v>
      </c>
      <c r="AQ46" s="18">
        <f>IFERROR(VLOOKUP(Ohj.lask.[[#This Row],[Y-tunnus]],#REF!,COLUMN(#REF!),FALSE),0)</f>
        <v>0</v>
      </c>
      <c r="AR46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80000</v>
      </c>
      <c r="AS46" s="17">
        <f>Ohj.lask.[[#This Row],[Jaettava € 1]]+Ohj.lask.[[#This Row],[Päätös, € 9]]</f>
        <v>18950120</v>
      </c>
      <c r="AT46" s="113">
        <f>Ohj.lask.[[#This Row],[Jaettava € 2]]</f>
        <v>5555957</v>
      </c>
      <c r="AU46" s="17">
        <f>Ohj.lask.[[#This Row],[Jaettava € 3]]+Ohj.lask.[[#This Row],[Jaettava € 4]]+Ohj.lask.[[#This Row],[Jaettava € 5]]</f>
        <v>3372243</v>
      </c>
      <c r="AV46" s="42">
        <f>Ohj.lask.[[#This Row],[Jaettava € 6]]+Ohj.lask.[[#This Row],[Päätös, € 9]]</f>
        <v>27878320</v>
      </c>
      <c r="AW46" s="42">
        <v>0</v>
      </c>
      <c r="AX46" s="23">
        <f>Ohj.lask.[[#This Row],[Perus-, suoritus- ja vaikuttavuusrahoitus yhteensä, €]]+Ohj.lask.[[#This Row],[Alv-korvaus, €]]</f>
        <v>27878320</v>
      </c>
    </row>
    <row r="47" spans="1:50" ht="12.75" x14ac:dyDescent="0.2">
      <c r="A47" s="134" t="s">
        <v>346</v>
      </c>
      <c r="B47" s="14" t="s">
        <v>201</v>
      </c>
      <c r="C47" s="14" t="s">
        <v>224</v>
      </c>
      <c r="D47" s="14" t="s">
        <v>392</v>
      </c>
      <c r="E47" s="14" t="s">
        <v>438</v>
      </c>
      <c r="F47" s="117">
        <v>88</v>
      </c>
      <c r="G47" s="124">
        <f>Ohj.lask.[[#This Row],[Tavoitteelliset opiskelija-vuodet]]-Ohj.lask.[[#This Row],[Järjestämisluvan opisk.vuosien vähimmäismäärä]]</f>
        <v>8</v>
      </c>
      <c r="H47" s="41">
        <v>96</v>
      </c>
      <c r="I47" s="15">
        <f>IFERROR(VLOOKUP($A47,'2.1 Toteut. op.vuodet'!$A:$T,COLUMN('2.1 Toteut. op.vuodet'!T:T),FALSE),0)</f>
        <v>1.0340430007043824</v>
      </c>
      <c r="J47" s="81">
        <f t="shared" si="1"/>
        <v>99.3</v>
      </c>
      <c r="K47" s="16">
        <f>IFERROR(Ohj.lask.[[#This Row],[Painotetut opiskelija-vuodet]]/Ohj.lask.[[#Totals],[Painotetut opiskelija-vuodet]],0)</f>
        <v>4.8493147473863536E-4</v>
      </c>
      <c r="L47" s="17">
        <f>ROUND(IFERROR('1.1 Jakotaulu'!L$11*Ohj.lask.[[#This Row],[%-osuus 1]],0),0)</f>
        <v>610757</v>
      </c>
      <c r="M47" s="186">
        <f>IFERROR(ROUND(VLOOKUP($A47,'2.2 Tutk. ja osien pain. pist.'!$A:$Q,COLUMN('2.2 Tutk. ja osien pain. pist.'!P:P),FALSE),1),0)</f>
        <v>8424.7999999999993</v>
      </c>
      <c r="N47" s="16">
        <f>IFERROR(Ohj.lask.[[#This Row],[Painotetut pisteet 2]]/Ohj.lask.[[#Totals],[Painotetut pisteet 2]],0)</f>
        <v>5.4083895852370916E-4</v>
      </c>
      <c r="O47" s="23">
        <f>ROUND(IFERROR('1.1 Jakotaulu'!K$12*Ohj.lask.[[#This Row],[%-osuus 2]],0),0)</f>
        <v>198586</v>
      </c>
      <c r="P47" s="187">
        <f>IFERROR(ROUND(VLOOKUP($A47,'2.3 Työll. ja jatko-opisk.'!$A:$K,COLUMN('2.3 Työll. ja jatko-opisk.'!I:I),FALSE),1),0)</f>
        <v>140.6</v>
      </c>
      <c r="Q47" s="16">
        <f>IFERROR(Ohj.lask.[[#This Row],[Painotetut pisteet 3]]/Ohj.lask.[[#Totals],[Painotetut pisteet 3]],0)</f>
        <v>7.0645136815914171E-4</v>
      </c>
      <c r="R47" s="17">
        <f>ROUND(IFERROR('1.1 Jakotaulu'!L$14*Ohj.lask.[[#This Row],[%-osuus 3]],0),0)</f>
        <v>97274</v>
      </c>
      <c r="S47" s="186">
        <f>IFERROR(ROUND(VLOOKUP($A47,'2.4 Aloittaneet palaute'!$A:$K,COLUMN('2.4 Aloittaneet palaute'!J:J),FALSE),1),0)</f>
        <v>1448.4</v>
      </c>
      <c r="T47" s="20">
        <f>IFERROR(Ohj.lask.[[#This Row],[Painotetut pisteet 4]]/Ohj.lask.[[#Totals],[Painotetut pisteet 4]],0)</f>
        <v>8.7992226259823102E-4</v>
      </c>
      <c r="U47" s="23">
        <f>ROUND(IFERROR('1.1 Jakotaulu'!M$16*Ohj.lask.[[#This Row],[%-osuus 4]],0),0)</f>
        <v>10097</v>
      </c>
      <c r="V47" s="81">
        <f>IFERROR(ROUND(VLOOKUP($A47,'2.5 Päättäneet palaute'!$A:$AC,COLUMN('2.5 Päättäneet palaute'!AB:AB),FALSE),1),0)</f>
        <v>7733.3</v>
      </c>
      <c r="W47" s="20">
        <f>IFERROR(Ohj.lask.[[#This Row],[Painotetut pisteet 5]]/Ohj.lask.[[#Totals],[Painotetut pisteet 5]],0)</f>
        <v>8.969864743445143E-4</v>
      </c>
      <c r="X47" s="17">
        <f>ROUND(IFERROR('1.1 Jakotaulu'!M$17*Ohj.lask.[[#This Row],[%-osuus 5]],0),0)</f>
        <v>30877</v>
      </c>
      <c r="Y47" s="19">
        <f>IFERROR(Ohj.lask.[[#This Row],[Jaettava € 6]]/Ohj.lask.[[#Totals],[Jaettava € 6]],"")</f>
        <v>5.2346037069525249E-4</v>
      </c>
      <c r="Z47" s="23">
        <f>IFERROR(Ohj.lask.[[#This Row],[Jaettava € 1]]+Ohj.lask.[[#This Row],[Jaettava € 2]]+Ohj.lask.[[#This Row],[Jaettava € 3]]+Ohj.lask.[[#This Row],[Jaettava € 4]]+Ohj.lask.[[#This Row],[Jaettava € 5]],"")</f>
        <v>947591</v>
      </c>
      <c r="AA47" s="17">
        <v>0</v>
      </c>
      <c r="AB47" s="17">
        <v>0</v>
      </c>
      <c r="AC47" s="18">
        <v>0</v>
      </c>
      <c r="AD47" s="17">
        <v>0</v>
      </c>
      <c r="AE47" s="18">
        <v>0</v>
      </c>
      <c r="AF47" s="17">
        <v>0</v>
      </c>
      <c r="AG47" s="18">
        <v>0</v>
      </c>
      <c r="AH47" s="17">
        <v>0</v>
      </c>
      <c r="AI47" s="18">
        <v>0</v>
      </c>
      <c r="AJ47" s="17">
        <v>0</v>
      </c>
      <c r="AK47" s="18">
        <v>0</v>
      </c>
      <c r="AL47" s="17">
        <v>0</v>
      </c>
      <c r="AM47" s="18">
        <v>35000</v>
      </c>
      <c r="AN47" s="23">
        <v>20000</v>
      </c>
      <c r="AO47" s="17">
        <v>0</v>
      </c>
      <c r="AP47" s="17">
        <v>0</v>
      </c>
      <c r="AQ47" s="18">
        <f>IFERROR(VLOOKUP(Ohj.lask.[[#This Row],[Y-tunnus]],#REF!,COLUMN(#REF!),FALSE),0)</f>
        <v>0</v>
      </c>
      <c r="AR47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20000</v>
      </c>
      <c r="AS47" s="17">
        <f>Ohj.lask.[[#This Row],[Jaettava € 1]]+Ohj.lask.[[#This Row],[Päätös, € 9]]</f>
        <v>630757</v>
      </c>
      <c r="AT47" s="113">
        <f>Ohj.lask.[[#This Row],[Jaettava € 2]]</f>
        <v>198586</v>
      </c>
      <c r="AU47" s="17">
        <f>Ohj.lask.[[#This Row],[Jaettava € 3]]+Ohj.lask.[[#This Row],[Jaettava € 4]]+Ohj.lask.[[#This Row],[Jaettava € 5]]</f>
        <v>138248</v>
      </c>
      <c r="AV47" s="42">
        <f>Ohj.lask.[[#This Row],[Jaettava € 6]]+Ohj.lask.[[#This Row],[Päätös, € 9]]</f>
        <v>967591</v>
      </c>
      <c r="AW47" s="42">
        <v>43570</v>
      </c>
      <c r="AX47" s="23">
        <f>Ohj.lask.[[#This Row],[Perus-, suoritus- ja vaikuttavuusrahoitus yhteensä, €]]+Ohj.lask.[[#This Row],[Alv-korvaus, €]]</f>
        <v>1011161</v>
      </c>
    </row>
    <row r="48" spans="1:50" ht="12.75" x14ac:dyDescent="0.2">
      <c r="A48" s="134" t="s">
        <v>345</v>
      </c>
      <c r="B48" s="14" t="s">
        <v>51</v>
      </c>
      <c r="C48" s="14" t="s">
        <v>216</v>
      </c>
      <c r="D48" s="14" t="s">
        <v>392</v>
      </c>
      <c r="E48" s="14" t="s">
        <v>438</v>
      </c>
      <c r="F48" s="117">
        <v>85</v>
      </c>
      <c r="G48" s="124">
        <f>Ohj.lask.[[#This Row],[Tavoitteelliset opiskelija-vuodet]]-Ohj.lask.[[#This Row],[Järjestämisluvan opisk.vuosien vähimmäismäärä]]</f>
        <v>8</v>
      </c>
      <c r="H48" s="41">
        <v>93</v>
      </c>
      <c r="I48" s="15">
        <f>IFERROR(VLOOKUP($A48,'2.1 Toteut. op.vuodet'!$A:$T,COLUMN('2.1 Toteut. op.vuodet'!T:T),FALSE),0)</f>
        <v>1.1921998154135738</v>
      </c>
      <c r="J48" s="81">
        <f t="shared" si="1"/>
        <v>110.9</v>
      </c>
      <c r="K48" s="16">
        <f>IFERROR(Ohj.lask.[[#This Row],[Painotetut opiskelija-vuodet]]/Ohj.lask.[[#Totals],[Painotetut opiskelija-vuodet]],0)</f>
        <v>5.4158006594677403E-4</v>
      </c>
      <c r="L48" s="17">
        <f>ROUND(IFERROR('1.1 Jakotaulu'!L$11*Ohj.lask.[[#This Row],[%-osuus 1]],0),0)</f>
        <v>682104</v>
      </c>
      <c r="M48" s="186">
        <f>IFERROR(ROUND(VLOOKUP($A48,'2.2 Tutk. ja osien pain. pist.'!$A:$Q,COLUMN('2.2 Tutk. ja osien pain. pist.'!P:P),FALSE),1),0)</f>
        <v>10495.4</v>
      </c>
      <c r="N48" s="16">
        <f>IFERROR(Ohj.lask.[[#This Row],[Painotetut pisteet 2]]/Ohj.lask.[[#Totals],[Painotetut pisteet 2]],0)</f>
        <v>6.7376331845144552E-4</v>
      </c>
      <c r="O48" s="23">
        <f>ROUND(IFERROR('1.1 Jakotaulu'!K$12*Ohj.lask.[[#This Row],[%-osuus 2]],0),0)</f>
        <v>247394</v>
      </c>
      <c r="P48" s="187">
        <f>IFERROR(ROUND(VLOOKUP($A48,'2.3 Työll. ja jatko-opisk.'!$A:$K,COLUMN('2.3 Työll. ja jatko-opisk.'!I:I),FALSE),1),0)</f>
        <v>127.4</v>
      </c>
      <c r="Q48" s="16">
        <f>IFERROR(Ohj.lask.[[#This Row],[Painotetut pisteet 3]]/Ohj.lask.[[#Totals],[Painotetut pisteet 3]],0)</f>
        <v>6.4012734212997625E-4</v>
      </c>
      <c r="R48" s="17">
        <f>ROUND(IFERROR('1.1 Jakotaulu'!L$14*Ohj.lask.[[#This Row],[%-osuus 3]],0),0)</f>
        <v>88141</v>
      </c>
      <c r="S48" s="186">
        <f>IFERROR(ROUND(VLOOKUP($A48,'2.4 Aloittaneet palaute'!$A:$K,COLUMN('2.4 Aloittaneet palaute'!J:J),FALSE),1),0)</f>
        <v>1193.8</v>
      </c>
      <c r="T48" s="20">
        <f>IFERROR(Ohj.lask.[[#This Row],[Painotetut pisteet 4]]/Ohj.lask.[[#Totals],[Painotetut pisteet 4]],0)</f>
        <v>7.2524937661541569E-4</v>
      </c>
      <c r="U48" s="23">
        <f>ROUND(IFERROR('1.1 Jakotaulu'!M$16*Ohj.lask.[[#This Row],[%-osuus 4]],0),0)</f>
        <v>8322</v>
      </c>
      <c r="V48" s="81">
        <f>IFERROR(ROUND(VLOOKUP($A48,'2.5 Päättäneet palaute'!$A:$AC,COLUMN('2.5 Päättäneet palaute'!AB:AB),FALSE),1),0)</f>
        <v>7579.4</v>
      </c>
      <c r="W48" s="20">
        <f>IFERROR(Ohj.lask.[[#This Row],[Painotetut pisteet 5]]/Ohj.lask.[[#Totals],[Painotetut pisteet 5]],0)</f>
        <v>8.7913559329740368E-4</v>
      </c>
      <c r="X48" s="17">
        <f>ROUND(IFERROR('1.1 Jakotaulu'!M$17*Ohj.lask.[[#This Row],[%-osuus 5]],0),0)</f>
        <v>30263</v>
      </c>
      <c r="Y48" s="19">
        <f>IFERROR(Ohj.lask.[[#This Row],[Jaettava € 6]]/Ohj.lask.[[#Totals],[Jaettava € 6]],"")</f>
        <v>5.8347051267606208E-4</v>
      </c>
      <c r="Z48" s="23">
        <f>IFERROR(Ohj.lask.[[#This Row],[Jaettava € 1]]+Ohj.lask.[[#This Row],[Jaettava € 2]]+Ohj.lask.[[#This Row],[Jaettava € 3]]+Ohj.lask.[[#This Row],[Jaettava € 4]]+Ohj.lask.[[#This Row],[Jaettava € 5]],"")</f>
        <v>1056224</v>
      </c>
      <c r="AA48" s="17">
        <v>0</v>
      </c>
      <c r="AB48" s="17">
        <v>0</v>
      </c>
      <c r="AC48" s="18">
        <v>0</v>
      </c>
      <c r="AD48" s="17">
        <v>0</v>
      </c>
      <c r="AE48" s="18">
        <v>0</v>
      </c>
      <c r="AF48" s="17">
        <v>0</v>
      </c>
      <c r="AG48" s="18">
        <v>0</v>
      </c>
      <c r="AH48" s="17">
        <v>0</v>
      </c>
      <c r="AI48" s="18">
        <v>0</v>
      </c>
      <c r="AJ48" s="17">
        <v>0</v>
      </c>
      <c r="AK48" s="18">
        <v>0</v>
      </c>
      <c r="AL48" s="17">
        <v>0</v>
      </c>
      <c r="AM48" s="18">
        <v>30000</v>
      </c>
      <c r="AN48" s="23">
        <v>0</v>
      </c>
      <c r="AO48" s="17">
        <v>0</v>
      </c>
      <c r="AP48" s="17">
        <v>0</v>
      </c>
      <c r="AQ48" s="18">
        <f>IFERROR(VLOOKUP(Ohj.lask.[[#This Row],[Y-tunnus]],#REF!,COLUMN(#REF!),FALSE),0)</f>
        <v>0</v>
      </c>
      <c r="AR48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48" s="17">
        <f>Ohj.lask.[[#This Row],[Jaettava € 1]]+Ohj.lask.[[#This Row],[Päätös, € 9]]</f>
        <v>682104</v>
      </c>
      <c r="AT48" s="113">
        <f>Ohj.lask.[[#This Row],[Jaettava € 2]]</f>
        <v>247394</v>
      </c>
      <c r="AU48" s="17">
        <f>Ohj.lask.[[#This Row],[Jaettava € 3]]+Ohj.lask.[[#This Row],[Jaettava € 4]]+Ohj.lask.[[#This Row],[Jaettava € 5]]</f>
        <v>126726</v>
      </c>
      <c r="AV48" s="42">
        <f>Ohj.lask.[[#This Row],[Jaettava € 6]]+Ohj.lask.[[#This Row],[Päätös, € 9]]</f>
        <v>1056224</v>
      </c>
      <c r="AW48" s="42">
        <v>55173</v>
      </c>
      <c r="AX48" s="23">
        <f>Ohj.lask.[[#This Row],[Perus-, suoritus- ja vaikuttavuusrahoitus yhteensä, €]]+Ohj.lask.[[#This Row],[Alv-korvaus, €]]</f>
        <v>1111397</v>
      </c>
    </row>
    <row r="49" spans="1:50" ht="12.75" x14ac:dyDescent="0.2">
      <c r="A49" s="134" t="s">
        <v>344</v>
      </c>
      <c r="B49" s="14" t="s">
        <v>52</v>
      </c>
      <c r="C49" s="14" t="s">
        <v>216</v>
      </c>
      <c r="D49" s="14" t="s">
        <v>392</v>
      </c>
      <c r="E49" s="14" t="s">
        <v>438</v>
      </c>
      <c r="F49" s="117">
        <v>63</v>
      </c>
      <c r="G49" s="124">
        <f>Ohj.lask.[[#This Row],[Tavoitteelliset opiskelija-vuodet]]-Ohj.lask.[[#This Row],[Järjestämisluvan opisk.vuosien vähimmäismäärä]]</f>
        <v>0</v>
      </c>
      <c r="H49" s="41">
        <v>63</v>
      </c>
      <c r="I49" s="15">
        <f>IFERROR(VLOOKUP($A49,'2.1 Toteut. op.vuodet'!$A:$T,COLUMN('2.1 Toteut. op.vuodet'!T:T),FALSE),0)</f>
        <v>0.92381999293379857</v>
      </c>
      <c r="J49" s="81">
        <f t="shared" si="1"/>
        <v>58.2</v>
      </c>
      <c r="K49" s="16">
        <f>IFERROR(Ohj.lask.[[#This Row],[Painotetut opiskelija-vuodet]]/Ohj.lask.[[#Totals],[Painotetut opiskelija-vuodet]],0)</f>
        <v>2.8421965588910957E-4</v>
      </c>
      <c r="L49" s="17">
        <f>ROUND(IFERROR('1.1 Jakotaulu'!L$11*Ohj.lask.[[#This Row],[%-osuus 1]],0),0)</f>
        <v>357966</v>
      </c>
      <c r="M49" s="186">
        <f>IFERROR(ROUND(VLOOKUP($A49,'2.2 Tutk. ja osien pain. pist.'!$A:$Q,COLUMN('2.2 Tutk. ja osien pain. pist.'!P:P),FALSE),1),0)</f>
        <v>2595.1999999999998</v>
      </c>
      <c r="N49" s="16">
        <f>IFERROR(Ohj.lask.[[#This Row],[Painotetut pisteet 2]]/Ohj.lask.[[#Totals],[Painotetut pisteet 2]],0)</f>
        <v>1.6660161252026519E-4</v>
      </c>
      <c r="O49" s="23">
        <f>ROUND(IFERROR('1.1 Jakotaulu'!K$12*Ohj.lask.[[#This Row],[%-osuus 2]],0),0)</f>
        <v>61173</v>
      </c>
      <c r="P49" s="187">
        <f>IFERROR(ROUND(VLOOKUP($A49,'2.3 Työll. ja jatko-opisk.'!$A:$K,COLUMN('2.3 Työll. ja jatko-opisk.'!I:I),FALSE),1),0)</f>
        <v>24.2</v>
      </c>
      <c r="Q49" s="16">
        <f>IFERROR(Ohj.lask.[[#This Row],[Painotetut pisteet 3]]/Ohj.lask.[[#Totals],[Painotetut pisteet 3]],0)</f>
        <v>1.2159404772013676E-4</v>
      </c>
      <c r="R49" s="17">
        <f>ROUND(IFERROR('1.1 Jakotaulu'!L$14*Ohj.lask.[[#This Row],[%-osuus 3]],0),0)</f>
        <v>16743</v>
      </c>
      <c r="S49" s="186">
        <f>IFERROR(ROUND(VLOOKUP($A49,'2.4 Aloittaneet palaute'!$A:$K,COLUMN('2.4 Aloittaneet palaute'!J:J),FALSE),1),0)</f>
        <v>563.4</v>
      </c>
      <c r="T49" s="20">
        <f>IFERROR(Ohj.lask.[[#This Row],[Painotetut pisteet 4]]/Ohj.lask.[[#Totals],[Painotetut pisteet 4]],0)</f>
        <v>3.4227299278365321E-4</v>
      </c>
      <c r="U49" s="23">
        <f>ROUND(IFERROR('1.1 Jakotaulu'!M$16*Ohj.lask.[[#This Row],[%-osuus 4]],0),0)</f>
        <v>3927</v>
      </c>
      <c r="V49" s="81">
        <f>IFERROR(ROUND(VLOOKUP($A49,'2.5 Päättäneet palaute'!$A:$AC,COLUMN('2.5 Päättäneet palaute'!AB:AB),FALSE),1),0)</f>
        <v>4356.8999999999996</v>
      </c>
      <c r="W49" s="20">
        <f>IFERROR(Ohj.lask.[[#This Row],[Painotetut pisteet 5]]/Ohj.lask.[[#Totals],[Painotetut pisteet 5]],0)</f>
        <v>5.0535739853253001E-4</v>
      </c>
      <c r="X49" s="17">
        <f>ROUND(IFERROR('1.1 Jakotaulu'!M$17*Ohj.lask.[[#This Row],[%-osuus 5]],0),0)</f>
        <v>17396</v>
      </c>
      <c r="Y49" s="19">
        <f>IFERROR(Ohj.lask.[[#This Row],[Jaettava € 6]]/Ohj.lask.[[#Totals],[Jaettava € 6]],"")</f>
        <v>2.5256539876774149E-4</v>
      </c>
      <c r="Z49" s="23">
        <f>IFERROR(Ohj.lask.[[#This Row],[Jaettava € 1]]+Ohj.lask.[[#This Row],[Jaettava € 2]]+Ohj.lask.[[#This Row],[Jaettava € 3]]+Ohj.lask.[[#This Row],[Jaettava € 4]]+Ohj.lask.[[#This Row],[Jaettava € 5]],"")</f>
        <v>457205</v>
      </c>
      <c r="AA49" s="17">
        <v>0</v>
      </c>
      <c r="AB49" s="17">
        <v>0</v>
      </c>
      <c r="AC49" s="18">
        <v>0</v>
      </c>
      <c r="AD49" s="17">
        <v>0</v>
      </c>
      <c r="AE49" s="18">
        <v>0</v>
      </c>
      <c r="AF49" s="17">
        <v>0</v>
      </c>
      <c r="AG49" s="18">
        <v>0</v>
      </c>
      <c r="AH49" s="17">
        <v>0</v>
      </c>
      <c r="AI49" s="18">
        <v>0</v>
      </c>
      <c r="AJ49" s="17">
        <v>0</v>
      </c>
      <c r="AK49" s="18">
        <v>0</v>
      </c>
      <c r="AL49" s="17">
        <v>0</v>
      </c>
      <c r="AM49" s="18">
        <v>0</v>
      </c>
      <c r="AN49" s="23">
        <v>0</v>
      </c>
      <c r="AO49" s="17">
        <v>0</v>
      </c>
      <c r="AP49" s="17">
        <v>0</v>
      </c>
      <c r="AQ49" s="18">
        <f>IFERROR(VLOOKUP(Ohj.lask.[[#This Row],[Y-tunnus]],#REF!,COLUMN(#REF!),FALSE),0)</f>
        <v>0</v>
      </c>
      <c r="AR49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49" s="17">
        <f>Ohj.lask.[[#This Row],[Jaettava € 1]]+Ohj.lask.[[#This Row],[Päätös, € 9]]</f>
        <v>357966</v>
      </c>
      <c r="AT49" s="113">
        <f>Ohj.lask.[[#This Row],[Jaettava € 2]]</f>
        <v>61173</v>
      </c>
      <c r="AU49" s="17">
        <f>Ohj.lask.[[#This Row],[Jaettava € 3]]+Ohj.lask.[[#This Row],[Jaettava € 4]]+Ohj.lask.[[#This Row],[Jaettava € 5]]</f>
        <v>38066</v>
      </c>
      <c r="AV49" s="42">
        <f>Ohj.lask.[[#This Row],[Jaettava € 6]]+Ohj.lask.[[#This Row],[Päätös, € 9]]</f>
        <v>457205</v>
      </c>
      <c r="AW49" s="42">
        <v>0</v>
      </c>
      <c r="AX49" s="23">
        <f>Ohj.lask.[[#This Row],[Perus-, suoritus- ja vaikuttavuusrahoitus yhteensä, €]]+Ohj.lask.[[#This Row],[Alv-korvaus, €]]</f>
        <v>457205</v>
      </c>
    </row>
    <row r="50" spans="1:50" ht="12.75" x14ac:dyDescent="0.2">
      <c r="A50" s="134" t="s">
        <v>343</v>
      </c>
      <c r="B50" s="14" t="s">
        <v>53</v>
      </c>
      <c r="C50" s="14" t="s">
        <v>218</v>
      </c>
      <c r="D50" s="14" t="s">
        <v>392</v>
      </c>
      <c r="E50" s="14" t="s">
        <v>438</v>
      </c>
      <c r="F50" s="117">
        <v>23</v>
      </c>
      <c r="G50" s="124">
        <f>Ohj.lask.[[#This Row],[Tavoitteelliset opiskelija-vuodet]]-Ohj.lask.[[#This Row],[Järjestämisluvan opisk.vuosien vähimmäismäärä]]</f>
        <v>0</v>
      </c>
      <c r="H50" s="41">
        <v>23</v>
      </c>
      <c r="I50" s="15">
        <f>IFERROR(VLOOKUP($A50,'2.1 Toteut. op.vuodet'!$A:$T,COLUMN('2.1 Toteut. op.vuodet'!T:T),FALSE),0)</f>
        <v>0.76229999999999987</v>
      </c>
      <c r="J50" s="81">
        <f t="shared" si="1"/>
        <v>17.5</v>
      </c>
      <c r="K50" s="16">
        <f>IFERROR(Ohj.lask.[[#This Row],[Painotetut opiskelija-vuodet]]/Ohj.lask.[[#Totals],[Painotetut opiskelija-vuodet]],0)</f>
        <v>8.5461236736416102E-5</v>
      </c>
      <c r="L50" s="17">
        <f>ROUND(IFERROR('1.1 Jakotaulu'!L$11*Ohj.lask.[[#This Row],[%-osuus 1]],0),0)</f>
        <v>107636</v>
      </c>
      <c r="M50" s="186">
        <f>IFERROR(ROUND(VLOOKUP($A50,'2.2 Tutk. ja osien pain. pist.'!$A:$Q,COLUMN('2.2 Tutk. ja osien pain. pist.'!P:P),FALSE),1),0)</f>
        <v>1426.8</v>
      </c>
      <c r="N50" s="16">
        <f>IFERROR(Ohj.lask.[[#This Row],[Painotetut pisteet 2]]/Ohj.lask.[[#Totals],[Painotetut pisteet 2]],0)</f>
        <v>9.1594937093061952E-5</v>
      </c>
      <c r="O50" s="23">
        <f>ROUND(IFERROR('1.1 Jakotaulu'!K$12*Ohj.lask.[[#This Row],[%-osuus 2]],0),0)</f>
        <v>33632</v>
      </c>
      <c r="P50" s="187">
        <f>IFERROR(ROUND(VLOOKUP($A50,'2.3 Työll. ja jatko-opisk.'!$A:$K,COLUMN('2.3 Työll. ja jatko-opisk.'!I:I),FALSE),1),0)</f>
        <v>20.5</v>
      </c>
      <c r="Q50" s="16">
        <f>IFERROR(Ohj.lask.[[#This Row],[Painotetut pisteet 3]]/Ohj.lask.[[#Totals],[Painotetut pisteet 3]],0)</f>
        <v>1.0300322224226462E-4</v>
      </c>
      <c r="R50" s="17">
        <f>ROUND(IFERROR('1.1 Jakotaulu'!L$14*Ohj.lask.[[#This Row],[%-osuus 3]],0),0)</f>
        <v>14183</v>
      </c>
      <c r="S50" s="186">
        <f>IFERROR(ROUND(VLOOKUP($A50,'2.4 Aloittaneet palaute'!$A:$K,COLUMN('2.4 Aloittaneet palaute'!J:J),FALSE),1),0)</f>
        <v>97.8</v>
      </c>
      <c r="T50" s="20">
        <f>IFERROR(Ohj.lask.[[#This Row],[Painotetut pisteet 4]]/Ohj.lask.[[#Totals],[Painotetut pisteet 4]],0)</f>
        <v>5.9414800664255034E-5</v>
      </c>
      <c r="U50" s="23">
        <f>ROUND(IFERROR('1.1 Jakotaulu'!M$16*Ohj.lask.[[#This Row],[%-osuus 4]],0),0)</f>
        <v>682</v>
      </c>
      <c r="V50" s="81">
        <f>IFERROR(ROUND(VLOOKUP($A50,'2.5 Päättäneet palaute'!$A:$AC,COLUMN('2.5 Päättäneet palaute'!AB:AB),FALSE),1),0)</f>
        <v>628</v>
      </c>
      <c r="W50" s="20">
        <f>IFERROR(Ohj.lask.[[#This Row],[Painotetut pisteet 5]]/Ohj.lask.[[#Totals],[Painotetut pisteet 5]],0)</f>
        <v>7.2841801803674375E-5</v>
      </c>
      <c r="X50" s="17">
        <f>ROUND(IFERROR('1.1 Jakotaulu'!M$17*Ohj.lask.[[#This Row],[%-osuus 5]],0),0)</f>
        <v>2507</v>
      </c>
      <c r="Y50" s="19">
        <f>IFERROR(Ohj.lask.[[#This Row],[Jaettava € 6]]/Ohj.lask.[[#Totals],[Jaettava € 6]],"")</f>
        <v>8.7634594679661222E-5</v>
      </c>
      <c r="Z50" s="23">
        <f>IFERROR(Ohj.lask.[[#This Row],[Jaettava € 1]]+Ohj.lask.[[#This Row],[Jaettava € 2]]+Ohj.lask.[[#This Row],[Jaettava € 3]]+Ohj.lask.[[#This Row],[Jaettava € 4]]+Ohj.lask.[[#This Row],[Jaettava € 5]],"")</f>
        <v>158640</v>
      </c>
      <c r="AA50" s="17">
        <v>0</v>
      </c>
      <c r="AB50" s="17">
        <v>0</v>
      </c>
      <c r="AC50" s="18">
        <v>0</v>
      </c>
      <c r="AD50" s="17">
        <v>0</v>
      </c>
      <c r="AE50" s="18">
        <v>0</v>
      </c>
      <c r="AF50" s="17">
        <v>0</v>
      </c>
      <c r="AG50" s="18">
        <v>0</v>
      </c>
      <c r="AH50" s="17">
        <v>0</v>
      </c>
      <c r="AI50" s="18">
        <v>0</v>
      </c>
      <c r="AJ50" s="17">
        <v>0</v>
      </c>
      <c r="AK50" s="18">
        <v>0</v>
      </c>
      <c r="AL50" s="17">
        <v>0</v>
      </c>
      <c r="AM50" s="18">
        <v>0</v>
      </c>
      <c r="AN50" s="23">
        <v>0</v>
      </c>
      <c r="AO50" s="17">
        <v>0</v>
      </c>
      <c r="AP50" s="17">
        <v>0</v>
      </c>
      <c r="AQ50" s="18">
        <f>IFERROR(VLOOKUP(Ohj.lask.[[#This Row],[Y-tunnus]],#REF!,COLUMN(#REF!),FALSE),0)</f>
        <v>0</v>
      </c>
      <c r="AR50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50" s="17">
        <f>Ohj.lask.[[#This Row],[Jaettava € 1]]+Ohj.lask.[[#This Row],[Päätös, € 9]]</f>
        <v>107636</v>
      </c>
      <c r="AT50" s="113">
        <f>Ohj.lask.[[#This Row],[Jaettava € 2]]</f>
        <v>33632</v>
      </c>
      <c r="AU50" s="17">
        <f>Ohj.lask.[[#This Row],[Jaettava € 3]]+Ohj.lask.[[#This Row],[Jaettava € 4]]+Ohj.lask.[[#This Row],[Jaettava € 5]]</f>
        <v>17372</v>
      </c>
      <c r="AV50" s="42">
        <f>Ohj.lask.[[#This Row],[Jaettava € 6]]+Ohj.lask.[[#This Row],[Päätös, € 9]]</f>
        <v>158640</v>
      </c>
      <c r="AW50" s="42">
        <v>6984</v>
      </c>
      <c r="AX50" s="23">
        <f>Ohj.lask.[[#This Row],[Perus-, suoritus- ja vaikuttavuusrahoitus yhteensä, €]]+Ohj.lask.[[#This Row],[Alv-korvaus, €]]</f>
        <v>165624</v>
      </c>
    </row>
    <row r="51" spans="1:50" ht="12.75" x14ac:dyDescent="0.2">
      <c r="A51" s="134" t="s">
        <v>340</v>
      </c>
      <c r="B51" s="14" t="s">
        <v>56</v>
      </c>
      <c r="C51" s="14" t="s">
        <v>216</v>
      </c>
      <c r="D51" s="14" t="s">
        <v>392</v>
      </c>
      <c r="E51" s="14" t="s">
        <v>438</v>
      </c>
      <c r="F51" s="117">
        <v>83</v>
      </c>
      <c r="G51" s="124">
        <f>Ohj.lask.[[#This Row],[Tavoitteelliset opiskelija-vuodet]]-Ohj.lask.[[#This Row],[Järjestämisluvan opisk.vuosien vähimmäismäärä]]</f>
        <v>5</v>
      </c>
      <c r="H51" s="41">
        <v>88</v>
      </c>
      <c r="I51" s="15">
        <f>IFERROR(VLOOKUP($A51,'2.1 Toteut. op.vuodet'!$A:$T,COLUMN('2.1 Toteut. op.vuodet'!T:T),FALSE),0)</f>
        <v>1.0836101639196327</v>
      </c>
      <c r="J51" s="81">
        <f t="shared" si="1"/>
        <v>95.4</v>
      </c>
      <c r="K51" s="16">
        <f>IFERROR(Ohj.lask.[[#This Row],[Painotetut opiskelija-vuodet]]/Ohj.lask.[[#Totals],[Painotetut opiskelija-vuodet]],0)</f>
        <v>4.6588582769451983E-4</v>
      </c>
      <c r="L51" s="17">
        <f>ROUND(IFERROR('1.1 Jakotaulu'!L$11*Ohj.lask.[[#This Row],[%-osuus 1]],0),0)</f>
        <v>586770</v>
      </c>
      <c r="M51" s="186">
        <f>IFERROR(ROUND(VLOOKUP($A51,'2.2 Tutk. ja osien pain. pist.'!$A:$Q,COLUMN('2.2 Tutk. ja osien pain. pist.'!P:P),FALSE),1),0)</f>
        <v>5912.4</v>
      </c>
      <c r="N51" s="16">
        <f>IFERROR(Ohj.lask.[[#This Row],[Painotetut pisteet 2]]/Ohj.lask.[[#Totals],[Painotetut pisteet 2]],0)</f>
        <v>3.7955277969513562E-4</v>
      </c>
      <c r="O51" s="23">
        <f>ROUND(IFERROR('1.1 Jakotaulu'!K$12*Ohj.lask.[[#This Row],[%-osuus 2]],0),0)</f>
        <v>139365</v>
      </c>
      <c r="P51" s="187">
        <f>IFERROR(ROUND(VLOOKUP($A51,'2.3 Työll. ja jatko-opisk.'!$A:$K,COLUMN('2.3 Työll. ja jatko-opisk.'!I:I),FALSE),1),0)</f>
        <v>75.099999999999994</v>
      </c>
      <c r="Q51" s="16">
        <f>IFERROR(Ohj.lask.[[#This Row],[Painotetut pisteet 3]]/Ohj.lask.[[#Totals],[Painotetut pisteet 3]],0)</f>
        <v>3.7734351172654008E-4</v>
      </c>
      <c r="R51" s="17">
        <f>ROUND(IFERROR('1.1 Jakotaulu'!L$14*Ohj.lask.[[#This Row],[%-osuus 3]],0),0)</f>
        <v>51958</v>
      </c>
      <c r="S51" s="186">
        <f>IFERROR(ROUND(VLOOKUP($A51,'2.4 Aloittaneet palaute'!$A:$K,COLUMN('2.4 Aloittaneet palaute'!J:J),FALSE),1),0)</f>
        <v>579.4</v>
      </c>
      <c r="T51" s="20">
        <f>IFERROR(Ohj.lask.[[#This Row],[Painotetut pisteet 4]]/Ohj.lask.[[#Totals],[Painotetut pisteet 4]],0)</f>
        <v>3.5199320557126139E-4</v>
      </c>
      <c r="U51" s="23">
        <f>ROUND(IFERROR('1.1 Jakotaulu'!M$16*Ohj.lask.[[#This Row],[%-osuus 4]],0),0)</f>
        <v>4039</v>
      </c>
      <c r="V51" s="81">
        <f>IFERROR(ROUND(VLOOKUP($A51,'2.5 Päättäneet palaute'!$A:$AC,COLUMN('2.5 Päättäneet palaute'!AB:AB),FALSE),1),0)</f>
        <v>3275.7</v>
      </c>
      <c r="W51" s="20">
        <f>IFERROR(Ohj.lask.[[#This Row],[Painotetut pisteet 5]]/Ohj.lask.[[#Totals],[Painotetut pisteet 5]],0)</f>
        <v>3.7994886969473904E-4</v>
      </c>
      <c r="X51" s="17">
        <f>ROUND(IFERROR('1.1 Jakotaulu'!M$17*Ohj.lask.[[#This Row],[%-osuus 5]],0),0)</f>
        <v>13079</v>
      </c>
      <c r="Y51" s="19">
        <f>IFERROR(Ohj.lask.[[#This Row],[Jaettava € 6]]/Ohj.lask.[[#Totals],[Jaettava € 6]],"")</f>
        <v>4.3928387335985932E-4</v>
      </c>
      <c r="Z51" s="23">
        <f>IFERROR(Ohj.lask.[[#This Row],[Jaettava € 1]]+Ohj.lask.[[#This Row],[Jaettava € 2]]+Ohj.lask.[[#This Row],[Jaettava € 3]]+Ohj.lask.[[#This Row],[Jaettava € 4]]+Ohj.lask.[[#This Row],[Jaettava € 5]],"")</f>
        <v>795211</v>
      </c>
      <c r="AA51" s="17">
        <v>0</v>
      </c>
      <c r="AB51" s="17">
        <v>0</v>
      </c>
      <c r="AC51" s="18">
        <v>0</v>
      </c>
      <c r="AD51" s="17">
        <v>50000</v>
      </c>
      <c r="AE51" s="18">
        <v>0</v>
      </c>
      <c r="AF51" s="17">
        <v>0</v>
      </c>
      <c r="AG51" s="18">
        <v>0</v>
      </c>
      <c r="AH51" s="17">
        <v>0</v>
      </c>
      <c r="AI51" s="18">
        <v>0</v>
      </c>
      <c r="AJ51" s="17">
        <v>0</v>
      </c>
      <c r="AK51" s="18">
        <v>400000</v>
      </c>
      <c r="AL51" s="17">
        <v>0</v>
      </c>
      <c r="AM51" s="18">
        <v>0</v>
      </c>
      <c r="AN51" s="23">
        <v>0</v>
      </c>
      <c r="AO51" s="17">
        <v>0</v>
      </c>
      <c r="AP51" s="17">
        <v>0</v>
      </c>
      <c r="AQ51" s="18">
        <f>IFERROR(VLOOKUP(Ohj.lask.[[#This Row],[Y-tunnus]],#REF!,COLUMN(#REF!),FALSE),0)</f>
        <v>0</v>
      </c>
      <c r="AR51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50000</v>
      </c>
      <c r="AS51" s="17">
        <f>Ohj.lask.[[#This Row],[Jaettava € 1]]+Ohj.lask.[[#This Row],[Päätös, € 9]]</f>
        <v>636770</v>
      </c>
      <c r="AT51" s="113">
        <f>Ohj.lask.[[#This Row],[Jaettava € 2]]</f>
        <v>139365</v>
      </c>
      <c r="AU51" s="17">
        <f>Ohj.lask.[[#This Row],[Jaettava € 3]]+Ohj.lask.[[#This Row],[Jaettava € 4]]+Ohj.lask.[[#This Row],[Jaettava € 5]]</f>
        <v>69076</v>
      </c>
      <c r="AV51" s="42">
        <f>Ohj.lask.[[#This Row],[Jaettava € 6]]+Ohj.lask.[[#This Row],[Päätös, € 9]]</f>
        <v>845211</v>
      </c>
      <c r="AW51" s="42">
        <v>29493</v>
      </c>
      <c r="AX51" s="23">
        <f>Ohj.lask.[[#This Row],[Perus-, suoritus- ja vaikuttavuusrahoitus yhteensä, €]]+Ohj.lask.[[#This Row],[Alv-korvaus, €]]</f>
        <v>874704</v>
      </c>
    </row>
    <row r="52" spans="1:50" ht="12.75" x14ac:dyDescent="0.2">
      <c r="A52" s="134" t="s">
        <v>339</v>
      </c>
      <c r="B52" s="14" t="s">
        <v>57</v>
      </c>
      <c r="C52" s="107" t="s">
        <v>274</v>
      </c>
      <c r="D52" s="107" t="s">
        <v>391</v>
      </c>
      <c r="E52" s="107" t="s">
        <v>438</v>
      </c>
      <c r="F52" s="116">
        <v>2434</v>
      </c>
      <c r="G52" s="124">
        <f>Ohj.lask.[[#This Row],[Tavoitteelliset opiskelija-vuodet]]-Ohj.lask.[[#This Row],[Järjestämisluvan opisk.vuosien vähimmäismäärä]]</f>
        <v>206</v>
      </c>
      <c r="H52" s="41">
        <v>2640</v>
      </c>
      <c r="I52" s="15">
        <f>IFERROR(VLOOKUP($A52,'2.1 Toteut. op.vuodet'!$A:$T,COLUMN('2.1 Toteut. op.vuodet'!T:T),FALSE),0)</f>
        <v>1.063836130734553</v>
      </c>
      <c r="J52" s="81">
        <f t="shared" si="1"/>
        <v>2808.5</v>
      </c>
      <c r="K52" s="16">
        <f>IFERROR(Ohj.lask.[[#This Row],[Painotetut opiskelija-vuodet]]/Ohj.lask.[[#Totals],[Painotetut opiskelija-vuodet]],0)</f>
        <v>1.3715307621384265E-2</v>
      </c>
      <c r="L52" s="17">
        <f>ROUND(IFERROR('1.1 Jakotaulu'!L$11*Ohj.lask.[[#This Row],[%-osuus 1]],0),0)</f>
        <v>17274032</v>
      </c>
      <c r="M52" s="186">
        <f>IFERROR(ROUND(VLOOKUP($A52,'2.2 Tutk. ja osien pain. pist.'!$A:$Q,COLUMN('2.2 Tutk. ja osien pain. pist.'!P:P),FALSE),1),0)</f>
        <v>201545.7</v>
      </c>
      <c r="N52" s="16">
        <f>IFERROR(Ohj.lask.[[#This Row],[Painotetut pisteet 2]]/Ohj.lask.[[#Totals],[Painotetut pisteet 2]],0)</f>
        <v>1.2938439664197601E-2</v>
      </c>
      <c r="O52" s="23">
        <f>ROUND(IFERROR('1.1 Jakotaulu'!K$12*Ohj.lask.[[#This Row],[%-osuus 2]],0),0)</f>
        <v>4750762</v>
      </c>
      <c r="P52" s="187">
        <f>IFERROR(ROUND(VLOOKUP($A52,'2.3 Työll. ja jatko-opisk.'!$A:$K,COLUMN('2.3 Työll. ja jatko-opisk.'!I:I),FALSE),1),0)</f>
        <v>2554.1999999999998</v>
      </c>
      <c r="Q52" s="20">
        <f>IFERROR(Ohj.lask.[[#This Row],[Painotetut pisteet 3]]/Ohj.lask.[[#Totals],[Painotetut pisteet 3]],0)</f>
        <v>1.2833699036643526E-2</v>
      </c>
      <c r="R52" s="17">
        <f>ROUND(IFERROR('1.1 Jakotaulu'!L$14*Ohj.lask.[[#This Row],[%-osuus 3]],0),0)</f>
        <v>1767114</v>
      </c>
      <c r="S52" s="186">
        <f>IFERROR(ROUND(VLOOKUP($A52,'2.4 Aloittaneet palaute'!$A:$K,COLUMN('2.4 Aloittaneet palaute'!J:J),FALSE),1),0)</f>
        <v>24860.5</v>
      </c>
      <c r="T52" s="20">
        <f>IFERROR(Ohj.lask.[[#This Row],[Painotetut pisteet 4]]/Ohj.lask.[[#Totals],[Painotetut pisteet 4]],0)</f>
        <v>1.510308437539583E-2</v>
      </c>
      <c r="U52" s="23">
        <f>ROUND(IFERROR('1.1 Jakotaulu'!M$16*Ohj.lask.[[#This Row],[%-osuus 4]],0),0)</f>
        <v>173299</v>
      </c>
      <c r="V52" s="81">
        <f>IFERROR(ROUND(VLOOKUP($A52,'2.5 Päättäneet palaute'!$A:$AC,COLUMN('2.5 Päättäneet palaute'!AB:AB),FALSE),1),0)</f>
        <v>129307.4</v>
      </c>
      <c r="W52" s="20">
        <f>IFERROR(Ohj.lask.[[#This Row],[Painotetut pisteet 5]]/Ohj.lask.[[#Totals],[Painotetut pisteet 5]],0)</f>
        <v>1.4998382169663125E-2</v>
      </c>
      <c r="X52" s="17">
        <f>ROUND(IFERROR('1.1 Jakotaulu'!M$17*Ohj.lask.[[#This Row],[%-osuus 5]],0),0)</f>
        <v>516294</v>
      </c>
      <c r="Y52" s="19">
        <f>IFERROR(Ohj.lask.[[#This Row],[Jaettava € 6]]/Ohj.lask.[[#Totals],[Jaettava € 6]],"")</f>
        <v>1.3523867985909738E-2</v>
      </c>
      <c r="Z52" s="23">
        <f>IFERROR(Ohj.lask.[[#This Row],[Jaettava € 1]]+Ohj.lask.[[#This Row],[Jaettava € 2]]+Ohj.lask.[[#This Row],[Jaettava € 3]]+Ohj.lask.[[#This Row],[Jaettava € 4]]+Ohj.lask.[[#This Row],[Jaettava € 5]],"")</f>
        <v>24481501</v>
      </c>
      <c r="AA52" s="17">
        <v>0</v>
      </c>
      <c r="AB52" s="17">
        <v>0</v>
      </c>
      <c r="AC52" s="18">
        <v>0</v>
      </c>
      <c r="AD52" s="17">
        <v>0</v>
      </c>
      <c r="AE52" s="18">
        <v>0</v>
      </c>
      <c r="AF52" s="17">
        <v>0</v>
      </c>
      <c r="AG52" s="18">
        <v>71914</v>
      </c>
      <c r="AH52" s="17">
        <v>0</v>
      </c>
      <c r="AI52" s="18">
        <v>0</v>
      </c>
      <c r="AJ52" s="17">
        <v>0</v>
      </c>
      <c r="AK52" s="18">
        <v>2319579</v>
      </c>
      <c r="AL52" s="17">
        <v>0</v>
      </c>
      <c r="AM52" s="18">
        <v>0</v>
      </c>
      <c r="AN52" s="23">
        <v>0</v>
      </c>
      <c r="AO52" s="17">
        <v>0</v>
      </c>
      <c r="AP52" s="17">
        <v>0</v>
      </c>
      <c r="AQ52" s="18">
        <f>IFERROR(VLOOKUP(Ohj.lask.[[#This Row],[Y-tunnus]],#REF!,COLUMN(#REF!),FALSE),0)</f>
        <v>0</v>
      </c>
      <c r="AR52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52" s="17">
        <f>Ohj.lask.[[#This Row],[Jaettava € 1]]+Ohj.lask.[[#This Row],[Päätös, € 9]]</f>
        <v>17274032</v>
      </c>
      <c r="AT52" s="113">
        <f>Ohj.lask.[[#This Row],[Jaettava € 2]]</f>
        <v>4750762</v>
      </c>
      <c r="AU52" s="17">
        <f>Ohj.lask.[[#This Row],[Jaettava € 3]]+Ohj.lask.[[#This Row],[Jaettava € 4]]+Ohj.lask.[[#This Row],[Jaettava € 5]]</f>
        <v>2456707</v>
      </c>
      <c r="AV52" s="42">
        <f>Ohj.lask.[[#This Row],[Jaettava € 6]]+Ohj.lask.[[#This Row],[Päätös, € 9]]</f>
        <v>24481501</v>
      </c>
      <c r="AW52" s="42">
        <v>0</v>
      </c>
      <c r="AX52" s="23">
        <f>Ohj.lask.[[#This Row],[Perus-, suoritus- ja vaikuttavuusrahoitus yhteensä, €]]+Ohj.lask.[[#This Row],[Alv-korvaus, €]]</f>
        <v>24481501</v>
      </c>
    </row>
    <row r="53" spans="1:50" ht="12.75" x14ac:dyDescent="0.2">
      <c r="A53" s="134" t="s">
        <v>325</v>
      </c>
      <c r="B53" s="14" t="s">
        <v>525</v>
      </c>
      <c r="C53" s="14" t="s">
        <v>323</v>
      </c>
      <c r="D53" s="14" t="s">
        <v>392</v>
      </c>
      <c r="E53" s="14" t="s">
        <v>438</v>
      </c>
      <c r="F53" s="117">
        <v>43</v>
      </c>
      <c r="G53" s="124">
        <f>Ohj.lask.[[#This Row],[Tavoitteelliset opiskelija-vuodet]]-Ohj.lask.[[#This Row],[Järjestämisluvan opisk.vuosien vähimmäismäärä]]</f>
        <v>6</v>
      </c>
      <c r="H53" s="41">
        <v>49</v>
      </c>
      <c r="I53" s="15">
        <f>IFERROR(VLOOKUP($A53,'2.1 Toteut. op.vuodet'!$A:$T,COLUMN('2.1 Toteut. op.vuodet'!T:T),FALSE),0)</f>
        <v>1.6004107244723333</v>
      </c>
      <c r="J53" s="81">
        <f t="shared" si="1"/>
        <v>78.400000000000006</v>
      </c>
      <c r="K53" s="16">
        <f>IFERROR(Ohj.lask.[[#This Row],[Painotetut opiskelija-vuodet]]/Ohj.lask.[[#Totals],[Painotetut opiskelija-vuodet]],0)</f>
        <v>3.8286634057914414E-4</v>
      </c>
      <c r="L53" s="17">
        <f>ROUND(IFERROR('1.1 Jakotaulu'!L$11*Ohj.lask.[[#This Row],[%-osuus 1]],0),0)</f>
        <v>482209</v>
      </c>
      <c r="M53" s="186">
        <f>IFERROR(ROUND(VLOOKUP($A53,'2.2 Tutk. ja osien pain. pist.'!$A:$Q,COLUMN('2.2 Tutk. ja osien pain. pist.'!P:P),FALSE),1),0)</f>
        <v>6799.1</v>
      </c>
      <c r="N53" s="16">
        <f>IFERROR(Ohj.lask.[[#This Row],[Painotetut pisteet 2]]/Ohj.lask.[[#Totals],[Painotetut pisteet 2]],0)</f>
        <v>4.3647542527995342E-4</v>
      </c>
      <c r="O53" s="23">
        <f>ROUND(IFERROR('1.1 Jakotaulu'!K$12*Ohj.lask.[[#This Row],[%-osuus 2]],0),0)</f>
        <v>160266</v>
      </c>
      <c r="P53" s="187">
        <f>IFERROR(ROUND(VLOOKUP($A53,'2.3 Työll. ja jatko-opisk.'!$A:$K,COLUMN('2.3 Työll. ja jatko-opisk.'!I:I),FALSE),1),0)</f>
        <v>51.2</v>
      </c>
      <c r="Q53" s="16">
        <f>IFERROR(Ohj.lask.[[#This Row],[Painotetut pisteet 3]]/Ohj.lask.[[#Totals],[Painotetut pisteet 3]],0)</f>
        <v>2.5725682823433895E-4</v>
      </c>
      <c r="R53" s="17">
        <f>ROUND(IFERROR('1.1 Jakotaulu'!L$14*Ohj.lask.[[#This Row],[%-osuus 3]],0),0)</f>
        <v>35423</v>
      </c>
      <c r="S53" s="186">
        <f>IFERROR(ROUND(VLOOKUP($A53,'2.4 Aloittaneet palaute'!$A:$K,COLUMN('2.4 Aloittaneet palaute'!J:J),FALSE),1),0)</f>
        <v>525</v>
      </c>
      <c r="T53" s="20">
        <f>IFERROR(Ohj.lask.[[#This Row],[Painotetut pisteet 4]]/Ohj.lask.[[#Totals],[Painotetut pisteet 4]],0)</f>
        <v>3.1894448209339357E-4</v>
      </c>
      <c r="U53" s="23">
        <f>ROUND(IFERROR('1.1 Jakotaulu'!M$16*Ohj.lask.[[#This Row],[%-osuus 4]],0),0)</f>
        <v>3660</v>
      </c>
      <c r="V53" s="81">
        <f>IFERROR(ROUND(VLOOKUP($A53,'2.5 Päättäneet palaute'!$A:$AC,COLUMN('2.5 Päättäneet palaute'!AB:AB),FALSE),1),0)</f>
        <v>3274.3</v>
      </c>
      <c r="W53" s="20">
        <f>IFERROR(Ohj.lask.[[#This Row],[Painotetut pisteet 5]]/Ohj.lask.[[#Totals],[Painotetut pisteet 5]],0)</f>
        <v>3.7978648351237419E-4</v>
      </c>
      <c r="X53" s="17">
        <f>ROUND(IFERROR('1.1 Jakotaulu'!M$17*Ohj.lask.[[#This Row],[%-osuus 5]],0),0)</f>
        <v>13074</v>
      </c>
      <c r="Y53" s="19">
        <f>IFERROR(Ohj.lask.[[#This Row],[Jaettava € 6]]/Ohj.lask.[[#Totals],[Jaettava € 6]],"")</f>
        <v>3.8372285534242582E-4</v>
      </c>
      <c r="Z53" s="23">
        <f>IFERROR(Ohj.lask.[[#This Row],[Jaettava € 1]]+Ohj.lask.[[#This Row],[Jaettava € 2]]+Ohj.lask.[[#This Row],[Jaettava € 3]]+Ohj.lask.[[#This Row],[Jaettava € 4]]+Ohj.lask.[[#This Row],[Jaettava € 5]],"")</f>
        <v>694632</v>
      </c>
      <c r="AA53" s="17">
        <v>0</v>
      </c>
      <c r="AB53" s="17">
        <v>0</v>
      </c>
      <c r="AC53" s="18">
        <v>0</v>
      </c>
      <c r="AD53" s="17">
        <v>0</v>
      </c>
      <c r="AE53" s="18">
        <v>0</v>
      </c>
      <c r="AF53" s="17">
        <v>0</v>
      </c>
      <c r="AG53" s="18">
        <v>0</v>
      </c>
      <c r="AH53" s="17">
        <v>0</v>
      </c>
      <c r="AI53" s="18">
        <v>0</v>
      </c>
      <c r="AJ53" s="17">
        <v>0</v>
      </c>
      <c r="AK53" s="18">
        <v>0</v>
      </c>
      <c r="AL53" s="17">
        <v>0</v>
      </c>
      <c r="AM53" s="18">
        <v>0</v>
      </c>
      <c r="AN53" s="23">
        <v>0</v>
      </c>
      <c r="AO53" s="17">
        <v>0</v>
      </c>
      <c r="AP53" s="17">
        <v>0</v>
      </c>
      <c r="AQ53" s="18">
        <f>IFERROR(VLOOKUP(Ohj.lask.[[#This Row],[Y-tunnus]],#REF!,COLUMN(#REF!),FALSE),0)</f>
        <v>0</v>
      </c>
      <c r="AR53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53" s="17">
        <f>Ohj.lask.[[#This Row],[Jaettava € 1]]+Ohj.lask.[[#This Row],[Päätös, € 9]]</f>
        <v>482209</v>
      </c>
      <c r="AT53" s="113">
        <f>Ohj.lask.[[#This Row],[Jaettava € 2]]</f>
        <v>160266</v>
      </c>
      <c r="AU53" s="17">
        <f>Ohj.lask.[[#This Row],[Jaettava € 3]]+Ohj.lask.[[#This Row],[Jaettava € 4]]+Ohj.lask.[[#This Row],[Jaettava € 5]]</f>
        <v>52157</v>
      </c>
      <c r="AV53" s="42">
        <f>Ohj.lask.[[#This Row],[Jaettava € 6]]+Ohj.lask.[[#This Row],[Päätös, € 9]]</f>
        <v>694632</v>
      </c>
      <c r="AW53" s="42">
        <v>12285</v>
      </c>
      <c r="AX53" s="23">
        <f>Ohj.lask.[[#This Row],[Perus-, suoritus- ja vaikuttavuusrahoitus yhteensä, €]]+Ohj.lask.[[#This Row],[Alv-korvaus, €]]</f>
        <v>706917</v>
      </c>
    </row>
    <row r="54" spans="1:50" ht="12.75" x14ac:dyDescent="0.2">
      <c r="A54" s="134" t="s">
        <v>324</v>
      </c>
      <c r="B54" s="14" t="s">
        <v>59</v>
      </c>
      <c r="C54" s="14" t="s">
        <v>323</v>
      </c>
      <c r="D54" s="14" t="s">
        <v>391</v>
      </c>
      <c r="E54" s="14" t="s">
        <v>438</v>
      </c>
      <c r="F54" s="117">
        <v>2572</v>
      </c>
      <c r="G54" s="124">
        <f>Ohj.lask.[[#This Row],[Tavoitteelliset opiskelija-vuodet]]-Ohj.lask.[[#This Row],[Järjestämisluvan opisk.vuosien vähimmäismäärä]]</f>
        <v>173</v>
      </c>
      <c r="H54" s="41">
        <v>2745</v>
      </c>
      <c r="I54" s="15">
        <f>IFERROR(VLOOKUP($A54,'2.1 Toteut. op.vuodet'!$A:$T,COLUMN('2.1 Toteut. op.vuodet'!T:T),FALSE),0)</f>
        <v>1.1557938780717134</v>
      </c>
      <c r="J54" s="81">
        <f t="shared" si="1"/>
        <v>3172.7</v>
      </c>
      <c r="K54" s="16">
        <f>IFERROR(Ohj.lask.[[#This Row],[Painotetut opiskelija-vuodet]]/Ohj.lask.[[#Totals],[Painotetut opiskelija-vuodet]],0)</f>
        <v>1.5493878045350134E-2</v>
      </c>
      <c r="L54" s="17">
        <f>ROUND(IFERROR('1.1 Jakotaulu'!L$11*Ohj.lask.[[#This Row],[%-osuus 1]],0),0)</f>
        <v>19514090</v>
      </c>
      <c r="M54" s="186">
        <f>IFERROR(ROUND(VLOOKUP($A54,'2.2 Tutk. ja osien pain. pist.'!$A:$Q,COLUMN('2.2 Tutk. ja osien pain. pist.'!P:P),FALSE),1),0)</f>
        <v>254768.2</v>
      </c>
      <c r="N54" s="16">
        <f>IFERROR(Ohj.lask.[[#This Row],[Painotetut pisteet 2]]/Ohj.lask.[[#Totals],[Painotetut pisteet 2]],0)</f>
        <v>1.6355114418497775E-2</v>
      </c>
      <c r="O54" s="23">
        <f>ROUND(IFERROR('1.1 Jakotaulu'!K$12*Ohj.lask.[[#This Row],[%-osuus 2]],0),0)</f>
        <v>6005304</v>
      </c>
      <c r="P54" s="187">
        <f>IFERROR(ROUND(VLOOKUP($A54,'2.3 Työll. ja jatko-opisk.'!$A:$K,COLUMN('2.3 Työll. ja jatko-opisk.'!I:I),FALSE),1),0)</f>
        <v>3538.7</v>
      </c>
      <c r="Q54" s="16">
        <f>IFERROR(Ohj.lask.[[#This Row],[Painotetut pisteet 3]]/Ohj.lask.[[#Totals],[Painotetut pisteet 3]],0)</f>
        <v>1.7780365977985452E-2</v>
      </c>
      <c r="R54" s="17">
        <f>ROUND(IFERROR('1.1 Jakotaulu'!L$14*Ohj.lask.[[#This Row],[%-osuus 3]],0),0)</f>
        <v>2448236</v>
      </c>
      <c r="S54" s="186">
        <f>IFERROR(ROUND(VLOOKUP($A54,'2.4 Aloittaneet palaute'!$A:$K,COLUMN('2.4 Aloittaneet palaute'!J:J),FALSE),1),0)</f>
        <v>28052.7</v>
      </c>
      <c r="T54" s="20">
        <f>IFERROR(Ohj.lask.[[#This Row],[Painotetut pisteet 4]]/Ohj.lask.[[#Totals],[Painotetut pisteet 4]],0)</f>
        <v>1.7042388329183509E-2</v>
      </c>
      <c r="U54" s="23">
        <f>ROUND(IFERROR('1.1 Jakotaulu'!M$16*Ohj.lask.[[#This Row],[%-osuus 4]],0),0)</f>
        <v>195552</v>
      </c>
      <c r="V54" s="81">
        <f>IFERROR(ROUND(VLOOKUP($A54,'2.5 Päättäneet palaute'!$A:$AC,COLUMN('2.5 Päättäneet palaute'!AB:AB),FALSE),1),0)</f>
        <v>164776.6</v>
      </c>
      <c r="W54" s="20">
        <f>IFERROR(Ohj.lask.[[#This Row],[Painotetut pisteet 5]]/Ohj.lask.[[#Totals],[Painotetut pisteet 5]],0)</f>
        <v>1.9112459297903391E-2</v>
      </c>
      <c r="X54" s="17">
        <f>ROUND(IFERROR('1.1 Jakotaulu'!M$17*Ohj.lask.[[#This Row],[%-osuus 5]],0),0)</f>
        <v>657914</v>
      </c>
      <c r="Y54" s="19">
        <f>IFERROR(Ohj.lask.[[#This Row],[Jaettava € 6]]/Ohj.lask.[[#Totals],[Jaettava € 6]],"")</f>
        <v>1.5921111108066096E-2</v>
      </c>
      <c r="Z54" s="23">
        <f>IFERROR(Ohj.lask.[[#This Row],[Jaettava € 1]]+Ohj.lask.[[#This Row],[Jaettava € 2]]+Ohj.lask.[[#This Row],[Jaettava € 3]]+Ohj.lask.[[#This Row],[Jaettava € 4]]+Ohj.lask.[[#This Row],[Jaettava € 5]],"")</f>
        <v>28821096</v>
      </c>
      <c r="AA54" s="17">
        <v>0</v>
      </c>
      <c r="AB54" s="17">
        <v>0</v>
      </c>
      <c r="AC54" s="18">
        <v>0</v>
      </c>
      <c r="AD54" s="17">
        <v>0</v>
      </c>
      <c r="AE54" s="18">
        <v>0</v>
      </c>
      <c r="AF54" s="17">
        <v>0</v>
      </c>
      <c r="AG54" s="18">
        <v>0</v>
      </c>
      <c r="AH54" s="17">
        <v>0</v>
      </c>
      <c r="AI54" s="18">
        <v>0</v>
      </c>
      <c r="AJ54" s="17">
        <v>0</v>
      </c>
      <c r="AK54" s="18">
        <v>800000</v>
      </c>
      <c r="AL54" s="17">
        <v>0</v>
      </c>
      <c r="AM54" s="18">
        <v>50000</v>
      </c>
      <c r="AN54" s="23">
        <v>50000</v>
      </c>
      <c r="AO54" s="17">
        <v>50000</v>
      </c>
      <c r="AP54" s="17">
        <v>29000</v>
      </c>
      <c r="AQ54" s="18">
        <f>IFERROR(VLOOKUP(Ohj.lask.[[#This Row],[Y-tunnus]],#REF!,COLUMN(#REF!),FALSE),0)</f>
        <v>0</v>
      </c>
      <c r="AR54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79000</v>
      </c>
      <c r="AS54" s="17">
        <f>Ohj.lask.[[#This Row],[Jaettava € 1]]+Ohj.lask.[[#This Row],[Päätös, € 9]]</f>
        <v>19593090</v>
      </c>
      <c r="AT54" s="113">
        <f>Ohj.lask.[[#This Row],[Jaettava € 2]]</f>
        <v>6005304</v>
      </c>
      <c r="AU54" s="17">
        <f>Ohj.lask.[[#This Row],[Jaettava € 3]]+Ohj.lask.[[#This Row],[Jaettava € 4]]+Ohj.lask.[[#This Row],[Jaettava € 5]]</f>
        <v>3301702</v>
      </c>
      <c r="AV54" s="42">
        <f>Ohj.lask.[[#This Row],[Jaettava € 6]]+Ohj.lask.[[#This Row],[Päätös, € 9]]</f>
        <v>28900096</v>
      </c>
      <c r="AW54" s="42">
        <v>0</v>
      </c>
      <c r="AX54" s="23">
        <f>Ohj.lask.[[#This Row],[Perus-, suoritus- ja vaikuttavuusrahoitus yhteensä, €]]+Ohj.lask.[[#This Row],[Alv-korvaus, €]]</f>
        <v>28900096</v>
      </c>
    </row>
    <row r="55" spans="1:50" ht="12.75" x14ac:dyDescent="0.2">
      <c r="A55" s="134" t="s">
        <v>318</v>
      </c>
      <c r="B55" s="14" t="s">
        <v>60</v>
      </c>
      <c r="C55" s="14" t="s">
        <v>216</v>
      </c>
      <c r="D55" s="14" t="s">
        <v>391</v>
      </c>
      <c r="E55" s="14" t="s">
        <v>438</v>
      </c>
      <c r="F55" s="117">
        <v>5059</v>
      </c>
      <c r="G55" s="124">
        <f>Ohj.lask.[[#This Row],[Tavoitteelliset opiskelija-vuodet]]-Ohj.lask.[[#This Row],[Järjestämisluvan opisk.vuosien vähimmäismäärä]]</f>
        <v>1054</v>
      </c>
      <c r="H55" s="41">
        <v>6113</v>
      </c>
      <c r="I55" s="15">
        <f>IFERROR(VLOOKUP($A55,'2.1 Toteut. op.vuodet'!$A:$T,COLUMN('2.1 Toteut. op.vuodet'!T:T),FALSE),0)</f>
        <v>1.0499020020474719</v>
      </c>
      <c r="J55" s="81">
        <f t="shared" si="1"/>
        <v>6418.1</v>
      </c>
      <c r="K55" s="16">
        <f>IFERROR(Ohj.lask.[[#This Row],[Painotetut opiskelija-vuodet]]/Ohj.lask.[[#Totals],[Painotetut opiskelija-vuodet]],0)</f>
        <v>3.1342786485599558E-2</v>
      </c>
      <c r="L55" s="17">
        <f>ROUND(IFERROR('1.1 Jakotaulu'!L$11*Ohj.lask.[[#This Row],[%-osuus 1]],0),0)</f>
        <v>39475331</v>
      </c>
      <c r="M55" s="186">
        <f>IFERROR(ROUND(VLOOKUP($A55,'2.2 Tutk. ja osien pain. pist.'!$A:$Q,COLUMN('2.2 Tutk. ja osien pain. pist.'!P:P),FALSE),1),0)</f>
        <v>528330.19999999995</v>
      </c>
      <c r="N55" s="16">
        <f>IFERROR(Ohj.lask.[[#This Row],[Painotetut pisteet 2]]/Ohj.lask.[[#Totals],[Painotetut pisteet 2]],0)</f>
        <v>3.3916716732103197E-2</v>
      </c>
      <c r="O55" s="23">
        <f>ROUND(IFERROR('1.1 Jakotaulu'!K$12*Ohj.lask.[[#This Row],[%-osuus 2]],0),0)</f>
        <v>12453608</v>
      </c>
      <c r="P55" s="187">
        <f>IFERROR(ROUND(VLOOKUP($A55,'2.3 Työll. ja jatko-opisk.'!$A:$K,COLUMN('2.3 Työll. ja jatko-opisk.'!I:I),FALSE),1),0)</f>
        <v>4684.1000000000004</v>
      </c>
      <c r="Q55" s="16">
        <f>IFERROR(Ohj.lask.[[#This Row],[Painotetut pisteet 3]]/Ohj.lask.[[#Totals],[Painotetut pisteet 3]],0)</f>
        <v>2.3535482600243501E-2</v>
      </c>
      <c r="R55" s="17">
        <f>ROUND(IFERROR('1.1 Jakotaulu'!L$14*Ohj.lask.[[#This Row],[%-osuus 3]],0),0)</f>
        <v>3240677</v>
      </c>
      <c r="S55" s="186">
        <f>IFERROR(ROUND(VLOOKUP($A55,'2.4 Aloittaneet palaute'!$A:$K,COLUMN('2.4 Aloittaneet palaute'!J:J),FALSE),1),0)</f>
        <v>57942.8</v>
      </c>
      <c r="T55" s="20">
        <f>IFERROR(Ohj.lask.[[#This Row],[Painotetut pisteet 4]]/Ohj.lask.[[#Totals],[Painotetut pisteet 4]],0)</f>
        <v>3.5201021594363974E-2</v>
      </c>
      <c r="U55" s="23">
        <f>ROUND(IFERROR('1.1 Jakotaulu'!M$16*Ohj.lask.[[#This Row],[%-osuus 4]],0),0)</f>
        <v>403912</v>
      </c>
      <c r="V55" s="81">
        <f>IFERROR(ROUND(VLOOKUP($A55,'2.5 Päättäneet palaute'!$A:$AC,COLUMN('2.5 Päättäneet palaute'!AB:AB),FALSE),1),0)</f>
        <v>261602.3</v>
      </c>
      <c r="W55" s="20">
        <f>IFERROR(Ohj.lask.[[#This Row],[Painotetut pisteet 5]]/Ohj.lask.[[#Totals],[Painotetut pisteet 5]],0)</f>
        <v>3.0343284853479875E-2</v>
      </c>
      <c r="X55" s="17">
        <f>ROUND(IFERROR('1.1 Jakotaulu'!M$17*Ohj.lask.[[#This Row],[%-osuus 5]],0),0)</f>
        <v>1044516</v>
      </c>
      <c r="Y55" s="19">
        <f>IFERROR(Ohj.lask.[[#This Row],[Jaettava € 6]]/Ohj.lask.[[#Totals],[Jaettava € 6]],"")</f>
        <v>3.1276470861669348E-2</v>
      </c>
      <c r="Z55" s="23">
        <f>IFERROR(Ohj.lask.[[#This Row],[Jaettava € 1]]+Ohj.lask.[[#This Row],[Jaettava € 2]]+Ohj.lask.[[#This Row],[Jaettava € 3]]+Ohj.lask.[[#This Row],[Jaettava € 4]]+Ohj.lask.[[#This Row],[Jaettava € 5]],"")</f>
        <v>56618044</v>
      </c>
      <c r="AA55" s="17">
        <v>0</v>
      </c>
      <c r="AB55" s="17">
        <v>0</v>
      </c>
      <c r="AC55" s="18">
        <v>0</v>
      </c>
      <c r="AD55" s="17">
        <v>0</v>
      </c>
      <c r="AE55" s="18">
        <v>0</v>
      </c>
      <c r="AF55" s="17">
        <v>0</v>
      </c>
      <c r="AG55" s="18">
        <v>0</v>
      </c>
      <c r="AH55" s="17">
        <v>0</v>
      </c>
      <c r="AI55" s="18">
        <v>0</v>
      </c>
      <c r="AJ55" s="17">
        <v>0</v>
      </c>
      <c r="AK55" s="18">
        <v>0</v>
      </c>
      <c r="AL55" s="17">
        <v>0</v>
      </c>
      <c r="AM55" s="18">
        <v>0</v>
      </c>
      <c r="AN55" s="23">
        <v>0</v>
      </c>
      <c r="AO55" s="17">
        <v>0</v>
      </c>
      <c r="AP55" s="17">
        <v>0</v>
      </c>
      <c r="AQ55" s="18">
        <f>IFERROR(VLOOKUP(Ohj.lask.[[#This Row],[Y-tunnus]],#REF!,COLUMN(#REF!),FALSE),0)</f>
        <v>0</v>
      </c>
      <c r="AR55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55" s="17">
        <f>Ohj.lask.[[#This Row],[Jaettava € 1]]+Ohj.lask.[[#This Row],[Päätös, € 9]]</f>
        <v>39475331</v>
      </c>
      <c r="AT55" s="113">
        <f>Ohj.lask.[[#This Row],[Jaettava € 2]]</f>
        <v>12453608</v>
      </c>
      <c r="AU55" s="17">
        <f>Ohj.lask.[[#This Row],[Jaettava € 3]]+Ohj.lask.[[#This Row],[Jaettava € 4]]+Ohj.lask.[[#This Row],[Jaettava € 5]]</f>
        <v>4689105</v>
      </c>
      <c r="AV55" s="42">
        <f>Ohj.lask.[[#This Row],[Jaettava € 6]]+Ohj.lask.[[#This Row],[Päätös, € 9]]</f>
        <v>56618044</v>
      </c>
      <c r="AW55" s="42">
        <v>0</v>
      </c>
      <c r="AX55" s="23">
        <f>Ohj.lask.[[#This Row],[Perus-, suoritus- ja vaikuttavuusrahoitus yhteensä, €]]+Ohj.lask.[[#This Row],[Alv-korvaus, €]]</f>
        <v>56618044</v>
      </c>
    </row>
    <row r="56" spans="1:50" ht="12.75" x14ac:dyDescent="0.2">
      <c r="A56" s="134" t="s">
        <v>338</v>
      </c>
      <c r="B56" s="14" t="s">
        <v>61</v>
      </c>
      <c r="C56" s="14" t="s">
        <v>216</v>
      </c>
      <c r="D56" s="14" t="s">
        <v>392</v>
      </c>
      <c r="E56" s="14" t="s">
        <v>438</v>
      </c>
      <c r="F56" s="117">
        <v>330</v>
      </c>
      <c r="G56" s="124">
        <f>Ohj.lask.[[#This Row],[Tavoitteelliset opiskelija-vuodet]]-Ohj.lask.[[#This Row],[Järjestämisluvan opisk.vuosien vähimmäismäärä]]</f>
        <v>15</v>
      </c>
      <c r="H56" s="41">
        <v>345</v>
      </c>
      <c r="I56" s="15">
        <f>IFERROR(VLOOKUP($A56,'2.1 Toteut. op.vuodet'!$A:$T,COLUMN('2.1 Toteut. op.vuodet'!T:T),FALSE),0)</f>
        <v>0.77687650089013738</v>
      </c>
      <c r="J56" s="81">
        <f t="shared" si="1"/>
        <v>268</v>
      </c>
      <c r="K56" s="16">
        <f>IFERROR(Ohj.lask.[[#This Row],[Painotetut opiskelija-vuodet]]/Ohj.lask.[[#Totals],[Painotetut opiskelija-vuodet]],0)</f>
        <v>1.3087777968776866E-3</v>
      </c>
      <c r="L56" s="17">
        <f>ROUND(IFERROR('1.1 Jakotaulu'!L$11*Ohj.lask.[[#This Row],[%-osuus 1]],0),0)</f>
        <v>1648368</v>
      </c>
      <c r="M56" s="186">
        <f>IFERROR(ROUND(VLOOKUP($A56,'2.2 Tutk. ja osien pain. pist.'!$A:$Q,COLUMN('2.2 Tutk. ja osien pain. pist.'!P:P),FALSE),1),0)</f>
        <v>7670</v>
      </c>
      <c r="N56" s="16">
        <f>IFERROR(Ohj.lask.[[#This Row],[Painotetut pisteet 2]]/Ohj.lask.[[#Totals],[Painotetut pisteet 2]],0)</f>
        <v>4.9238377313133249E-4</v>
      </c>
      <c r="O56" s="23">
        <f>ROUND(IFERROR('1.1 Jakotaulu'!K$12*Ohj.lask.[[#This Row],[%-osuus 2]],0),0)</f>
        <v>180794</v>
      </c>
      <c r="P56" s="187">
        <f>IFERROR(ROUND(VLOOKUP($A56,'2.3 Työll. ja jatko-opisk.'!$A:$K,COLUMN('2.3 Työll. ja jatko-opisk.'!I:I),FALSE),1),0)</f>
        <v>96</v>
      </c>
      <c r="Q56" s="16">
        <f>IFERROR(Ohj.lask.[[#This Row],[Painotetut pisteet 3]]/Ohj.lask.[[#Totals],[Painotetut pisteet 3]],0)</f>
        <v>4.823565529393855E-4</v>
      </c>
      <c r="R56" s="17">
        <f>ROUND(IFERROR('1.1 Jakotaulu'!L$14*Ohj.lask.[[#This Row],[%-osuus 3]],0),0)</f>
        <v>66417</v>
      </c>
      <c r="S56" s="186">
        <f>IFERROR(ROUND(VLOOKUP($A56,'2.4 Aloittaneet palaute'!$A:$K,COLUMN('2.4 Aloittaneet palaute'!J:J),FALSE),1),0)</f>
        <v>2167.1999999999998</v>
      </c>
      <c r="T56" s="20">
        <f>IFERROR(Ohj.lask.[[#This Row],[Painotetut pisteet 4]]/Ohj.lask.[[#Totals],[Painotetut pisteet 4]],0)</f>
        <v>1.3166028220815286E-3</v>
      </c>
      <c r="U56" s="23">
        <f>ROUND(IFERROR('1.1 Jakotaulu'!M$16*Ohj.lask.[[#This Row],[%-osuus 4]],0),0)</f>
        <v>15107</v>
      </c>
      <c r="V56" s="81">
        <f>IFERROR(ROUND(VLOOKUP($A56,'2.5 Päättäneet palaute'!$A:$AC,COLUMN('2.5 Päättäneet palaute'!AB:AB),FALSE),1),0)</f>
        <v>12534.7</v>
      </c>
      <c r="W56" s="20">
        <f>IFERROR(Ohj.lask.[[#This Row],[Painotetut pisteet 5]]/Ohj.lask.[[#Totals],[Painotetut pisteet 5]],0)</f>
        <v>1.4539014857778937E-3</v>
      </c>
      <c r="X56" s="17">
        <f>ROUND(IFERROR('1.1 Jakotaulu'!M$17*Ohj.lask.[[#This Row],[%-osuus 5]],0),0)</f>
        <v>50048</v>
      </c>
      <c r="Y56" s="19">
        <f>IFERROR(Ohj.lask.[[#This Row],[Jaettava € 6]]/Ohj.lask.[[#Totals],[Jaettava € 6]],"")</f>
        <v>1.0831324342198113E-3</v>
      </c>
      <c r="Z56" s="23">
        <f>IFERROR(Ohj.lask.[[#This Row],[Jaettava € 1]]+Ohj.lask.[[#This Row],[Jaettava € 2]]+Ohj.lask.[[#This Row],[Jaettava € 3]]+Ohj.lask.[[#This Row],[Jaettava € 4]]+Ohj.lask.[[#This Row],[Jaettava € 5]],"")</f>
        <v>1960734</v>
      </c>
      <c r="AA56" s="17">
        <v>0</v>
      </c>
      <c r="AB56" s="17">
        <v>0</v>
      </c>
      <c r="AC56" s="18">
        <v>0</v>
      </c>
      <c r="AD56" s="17">
        <v>0</v>
      </c>
      <c r="AE56" s="18">
        <v>0</v>
      </c>
      <c r="AF56" s="17">
        <v>0</v>
      </c>
      <c r="AG56" s="18">
        <v>0</v>
      </c>
      <c r="AH56" s="17">
        <v>0</v>
      </c>
      <c r="AI56" s="18">
        <v>0</v>
      </c>
      <c r="AJ56" s="17">
        <v>0</v>
      </c>
      <c r="AK56" s="18">
        <v>350000</v>
      </c>
      <c r="AL56" s="17">
        <v>0</v>
      </c>
      <c r="AM56" s="18">
        <v>15000</v>
      </c>
      <c r="AN56" s="23">
        <v>15000</v>
      </c>
      <c r="AO56" s="17">
        <v>0</v>
      </c>
      <c r="AP56" s="17">
        <v>0</v>
      </c>
      <c r="AQ56" s="18">
        <f>IFERROR(VLOOKUP(Ohj.lask.[[#This Row],[Y-tunnus]],#REF!,COLUMN(#REF!),FALSE),0)</f>
        <v>0</v>
      </c>
      <c r="AR56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15000</v>
      </c>
      <c r="AS56" s="17">
        <f>Ohj.lask.[[#This Row],[Jaettava € 1]]+Ohj.lask.[[#This Row],[Päätös, € 9]]</f>
        <v>1663368</v>
      </c>
      <c r="AT56" s="113">
        <f>Ohj.lask.[[#This Row],[Jaettava € 2]]</f>
        <v>180794</v>
      </c>
      <c r="AU56" s="17">
        <f>Ohj.lask.[[#This Row],[Jaettava € 3]]+Ohj.lask.[[#This Row],[Jaettava € 4]]+Ohj.lask.[[#This Row],[Jaettava € 5]]</f>
        <v>131572</v>
      </c>
      <c r="AV56" s="42">
        <f>Ohj.lask.[[#This Row],[Jaettava € 6]]+Ohj.lask.[[#This Row],[Päätös, € 9]]</f>
        <v>1975734</v>
      </c>
      <c r="AW56" s="42">
        <v>308703</v>
      </c>
      <c r="AX56" s="23">
        <f>Ohj.lask.[[#This Row],[Perus-, suoritus- ja vaikuttavuusrahoitus yhteensä, €]]+Ohj.lask.[[#This Row],[Alv-korvaus, €]]</f>
        <v>2284437</v>
      </c>
    </row>
    <row r="57" spans="1:50" ht="12.75" x14ac:dyDescent="0.2">
      <c r="A57" s="134" t="s">
        <v>337</v>
      </c>
      <c r="B57" s="14" t="s">
        <v>62</v>
      </c>
      <c r="C57" s="14" t="s">
        <v>312</v>
      </c>
      <c r="D57" s="14" t="s">
        <v>392</v>
      </c>
      <c r="E57" s="14" t="s">
        <v>438</v>
      </c>
      <c r="F57" s="117">
        <v>582</v>
      </c>
      <c r="G57" s="124">
        <f>Ohj.lask.[[#This Row],[Tavoitteelliset opiskelija-vuodet]]-Ohj.lask.[[#This Row],[Järjestämisluvan opisk.vuosien vähimmäismäärä]]</f>
        <v>73</v>
      </c>
      <c r="H57" s="41">
        <v>655</v>
      </c>
      <c r="I57" s="15">
        <f>IFERROR(VLOOKUP($A57,'2.1 Toteut. op.vuodet'!$A:$T,COLUMN('2.1 Toteut. op.vuodet'!T:T),FALSE),0)</f>
        <v>4.8286003051892914</v>
      </c>
      <c r="J57" s="81">
        <f t="shared" si="1"/>
        <v>3162.7</v>
      </c>
      <c r="K57" s="16">
        <f>IFERROR(Ohj.lask.[[#This Row],[Painotetut opiskelija-vuodet]]/Ohj.lask.[[#Totals],[Painotetut opiskelija-vuodet]],0)</f>
        <v>1.5445043052929324E-2</v>
      </c>
      <c r="L57" s="17">
        <f>ROUND(IFERROR('1.1 Jakotaulu'!L$11*Ohj.lask.[[#This Row],[%-osuus 1]],0),0)</f>
        <v>19452584</v>
      </c>
      <c r="M57" s="186">
        <f>IFERROR(ROUND(VLOOKUP($A57,'2.2 Tutk. ja osien pain. pist.'!$A:$Q,COLUMN('2.2 Tutk. ja osien pain. pist.'!P:P),FALSE),1),0)</f>
        <v>166402</v>
      </c>
      <c r="N57" s="16">
        <f>IFERROR(Ohj.lask.[[#This Row],[Painotetut pisteet 2]]/Ohj.lask.[[#Totals],[Painotetut pisteet 2]],0)</f>
        <v>1.0682352622764015E-2</v>
      </c>
      <c r="O57" s="23">
        <f>ROUND(IFERROR('1.1 Jakotaulu'!K$12*Ohj.lask.[[#This Row],[%-osuus 2]],0),0)</f>
        <v>3922368</v>
      </c>
      <c r="P57" s="187">
        <f>IFERROR(ROUND(VLOOKUP($A57,'2.3 Työll. ja jatko-opisk.'!$A:$K,COLUMN('2.3 Työll. ja jatko-opisk.'!I:I),FALSE),1),0)</f>
        <v>348.3</v>
      </c>
      <c r="Q57" s="16">
        <f>IFERROR(Ohj.lask.[[#This Row],[Painotetut pisteet 3]]/Ohj.lask.[[#Totals],[Painotetut pisteet 3]],0)</f>
        <v>1.7500498686332082E-3</v>
      </c>
      <c r="R57" s="17">
        <f>ROUND(IFERROR('1.1 Jakotaulu'!L$14*Ohj.lask.[[#This Row],[%-osuus 3]],0),0)</f>
        <v>240970</v>
      </c>
      <c r="S57" s="186">
        <f>IFERROR(ROUND(VLOOKUP($A57,'2.4 Aloittaneet palaute'!$A:$K,COLUMN('2.4 Aloittaneet palaute'!J:J),FALSE),1),0)</f>
        <v>4439.8999999999996</v>
      </c>
      <c r="T57" s="20">
        <f>IFERROR(Ohj.lask.[[#This Row],[Painotetut pisteet 4]]/Ohj.lask.[[#Totals],[Painotetut pisteet 4]],0)</f>
        <v>2.6972982972313488E-3</v>
      </c>
      <c r="U57" s="23">
        <f>ROUND(IFERROR('1.1 Jakotaulu'!M$16*Ohj.lask.[[#This Row],[%-osuus 4]],0),0)</f>
        <v>30950</v>
      </c>
      <c r="V57" s="81">
        <f>IFERROR(ROUND(VLOOKUP($A57,'2.5 Päättäneet palaute'!$A:$AC,COLUMN('2.5 Päättäneet palaute'!AB:AB),FALSE),1),0)</f>
        <v>26744.6</v>
      </c>
      <c r="W57" s="20">
        <f>IFERROR(Ohj.lask.[[#This Row],[Painotetut pisteet 5]]/Ohj.lask.[[#Totals],[Painotetut pisteet 5]],0)</f>
        <v>3.1021096377683906E-3</v>
      </c>
      <c r="X57" s="17">
        <f>ROUND(IFERROR('1.1 Jakotaulu'!M$17*Ohj.lask.[[#This Row],[%-osuus 5]],0),0)</f>
        <v>106785</v>
      </c>
      <c r="Y57" s="19">
        <f>IFERROR(Ohj.lask.[[#This Row],[Jaettava € 6]]/Ohj.lask.[[#Totals],[Jaettava € 6]],"")</f>
        <v>1.3121798432644336E-2</v>
      </c>
      <c r="Z57" s="23">
        <f>IFERROR(Ohj.lask.[[#This Row],[Jaettava € 1]]+Ohj.lask.[[#This Row],[Jaettava € 2]]+Ohj.lask.[[#This Row],[Jaettava € 3]]+Ohj.lask.[[#This Row],[Jaettava € 4]]+Ohj.lask.[[#This Row],[Jaettava € 5]],"")</f>
        <v>23753657</v>
      </c>
      <c r="AA57" s="17">
        <v>0</v>
      </c>
      <c r="AB57" s="17">
        <v>0</v>
      </c>
      <c r="AC57" s="18">
        <v>0</v>
      </c>
      <c r="AD57" s="17">
        <v>0</v>
      </c>
      <c r="AE57" s="18">
        <v>0</v>
      </c>
      <c r="AF57" s="17">
        <v>0</v>
      </c>
      <c r="AG57" s="18">
        <v>0</v>
      </c>
      <c r="AH57" s="17">
        <v>0</v>
      </c>
      <c r="AI57" s="18">
        <v>0</v>
      </c>
      <c r="AJ57" s="17">
        <v>0</v>
      </c>
      <c r="AK57" s="18">
        <v>0</v>
      </c>
      <c r="AL57" s="17">
        <v>0</v>
      </c>
      <c r="AM57" s="18">
        <v>100000</v>
      </c>
      <c r="AN57" s="23">
        <v>60000</v>
      </c>
      <c r="AO57" s="17">
        <v>0</v>
      </c>
      <c r="AP57" s="17">
        <v>0</v>
      </c>
      <c r="AQ57" s="18">
        <f>IFERROR(VLOOKUP(Ohj.lask.[[#This Row],[Y-tunnus]],#REF!,COLUMN(#REF!),FALSE),0)</f>
        <v>0</v>
      </c>
      <c r="AR57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60000</v>
      </c>
      <c r="AS57" s="17">
        <f>Ohj.lask.[[#This Row],[Jaettava € 1]]+Ohj.lask.[[#This Row],[Päätös, € 9]]</f>
        <v>19512584</v>
      </c>
      <c r="AT57" s="113">
        <f>Ohj.lask.[[#This Row],[Jaettava € 2]]</f>
        <v>3922368</v>
      </c>
      <c r="AU57" s="17">
        <f>Ohj.lask.[[#This Row],[Jaettava € 3]]+Ohj.lask.[[#This Row],[Jaettava € 4]]+Ohj.lask.[[#This Row],[Jaettava € 5]]</f>
        <v>378705</v>
      </c>
      <c r="AV57" s="42">
        <f>Ohj.lask.[[#This Row],[Jaettava € 6]]+Ohj.lask.[[#This Row],[Päätös, € 9]]</f>
        <v>23813657</v>
      </c>
      <c r="AW57" s="42">
        <v>779217</v>
      </c>
      <c r="AX57" s="23">
        <f>Ohj.lask.[[#This Row],[Perus-, suoritus- ja vaikuttavuusrahoitus yhteensä, €]]+Ohj.lask.[[#This Row],[Alv-korvaus, €]]</f>
        <v>24592874</v>
      </c>
    </row>
    <row r="58" spans="1:50" ht="12.75" x14ac:dyDescent="0.2">
      <c r="A58" s="134" t="s">
        <v>336</v>
      </c>
      <c r="B58" s="14" t="s">
        <v>63</v>
      </c>
      <c r="C58" s="107" t="s">
        <v>216</v>
      </c>
      <c r="D58" s="107" t="s">
        <v>392</v>
      </c>
      <c r="E58" s="107" t="s">
        <v>438</v>
      </c>
      <c r="F58" s="116">
        <v>1459</v>
      </c>
      <c r="G58" s="124">
        <f>Ohj.lask.[[#This Row],[Tavoitteelliset opiskelija-vuodet]]-Ohj.lask.[[#This Row],[Järjestämisluvan opisk.vuosien vähimmäismäärä]]</f>
        <v>255</v>
      </c>
      <c r="H58" s="41">
        <v>1714</v>
      </c>
      <c r="I58" s="15">
        <f>IFERROR(VLOOKUP($A58,'2.1 Toteut. op.vuodet'!$A:$T,COLUMN('2.1 Toteut. op.vuodet'!T:T),FALSE),0)</f>
        <v>1.0171113773450609</v>
      </c>
      <c r="J58" s="81">
        <f t="shared" si="1"/>
        <v>1743.3</v>
      </c>
      <c r="K58" s="16">
        <f>IFERROR(Ohj.lask.[[#This Row],[Painotetut opiskelija-vuodet]]/Ohj.lask.[[#Totals],[Painotetut opiskelija-vuodet]],0)</f>
        <v>8.5134042287196687E-3</v>
      </c>
      <c r="L58" s="17">
        <f>ROUND(IFERROR('1.1 Jakotaulu'!L$11*Ohj.lask.[[#This Row],[%-osuus 1]],0),0)</f>
        <v>10722386</v>
      </c>
      <c r="M58" s="186">
        <f>IFERROR(ROUND(VLOOKUP($A58,'2.2 Tutk. ja osien pain. pist.'!$A:$Q,COLUMN('2.2 Tutk. ja osien pain. pist.'!P:P),FALSE),1),0)</f>
        <v>140048.20000000001</v>
      </c>
      <c r="N58" s="16">
        <f>IFERROR(Ohj.lask.[[#This Row],[Painotetut pisteet 2]]/Ohj.lask.[[#Totals],[Painotetut pisteet 2]],0)</f>
        <v>8.9905425210236624E-3</v>
      </c>
      <c r="O58" s="23">
        <f>ROUND(IFERROR('1.1 Jakotaulu'!K$12*Ohj.lask.[[#This Row],[%-osuus 2]],0),0)</f>
        <v>3301165</v>
      </c>
      <c r="P58" s="187">
        <f>IFERROR(ROUND(VLOOKUP($A58,'2.3 Työll. ja jatko-opisk.'!$A:$K,COLUMN('2.3 Työll. ja jatko-opisk.'!I:I),FALSE),1),0)</f>
        <v>1990.9</v>
      </c>
      <c r="Q58" s="20">
        <f>IFERROR(Ohj.lask.[[#This Row],[Painotetut pisteet 3]]/Ohj.lask.[[#Totals],[Painotetut pisteet 3]],0)</f>
        <v>1.0003371471323153E-2</v>
      </c>
      <c r="R58" s="17">
        <f>ROUND(IFERROR('1.1 Jakotaulu'!L$14*Ohj.lask.[[#This Row],[%-osuus 3]],0),0)</f>
        <v>1377397</v>
      </c>
      <c r="S58" s="186">
        <f>IFERROR(ROUND(VLOOKUP($A58,'2.4 Aloittaneet palaute'!$A:$K,COLUMN('2.4 Aloittaneet palaute'!J:J),FALSE),1),0)</f>
        <v>9902.4</v>
      </c>
      <c r="T58" s="20">
        <f>IFERROR(Ohj.lask.[[#This Row],[Painotetut pisteet 4]]/Ohj.lask.[[#Totals],[Painotetut pisteet 4]],0)</f>
        <v>6.0158396942507058E-3</v>
      </c>
      <c r="U58" s="23">
        <f>ROUND(IFERROR('1.1 Jakotaulu'!M$16*Ohj.lask.[[#This Row],[%-osuus 4]],0),0)</f>
        <v>69028</v>
      </c>
      <c r="V58" s="81">
        <f>IFERROR(ROUND(VLOOKUP($A58,'2.5 Päättäneet palaute'!$A:$AC,COLUMN('2.5 Päättäneet palaute'!AB:AB),FALSE),1),0)</f>
        <v>83097.100000000006</v>
      </c>
      <c r="W58" s="20">
        <f>IFERROR(Ohj.lask.[[#This Row],[Painotetut pisteet 5]]/Ohj.lask.[[#Totals],[Painotetut pisteet 5]],0)</f>
        <v>9.6384434532804306E-3</v>
      </c>
      <c r="X58" s="17">
        <f>ROUND(IFERROR('1.1 Jakotaulu'!M$17*Ohj.lask.[[#This Row],[%-osuus 5]],0),0)</f>
        <v>331787</v>
      </c>
      <c r="Y58" s="19">
        <f>IFERROR(Ohj.lask.[[#This Row],[Jaettava € 6]]/Ohj.lask.[[#Totals],[Jaettava € 6]],"")</f>
        <v>8.7290790199764726E-3</v>
      </c>
      <c r="Z58" s="23">
        <f>IFERROR(Ohj.lask.[[#This Row],[Jaettava € 1]]+Ohj.lask.[[#This Row],[Jaettava € 2]]+Ohj.lask.[[#This Row],[Jaettava € 3]]+Ohj.lask.[[#This Row],[Jaettava € 4]]+Ohj.lask.[[#This Row],[Jaettava € 5]],"")</f>
        <v>15801763</v>
      </c>
      <c r="AA58" s="17">
        <v>0</v>
      </c>
      <c r="AB58" s="17">
        <v>0</v>
      </c>
      <c r="AC58" s="18">
        <v>0</v>
      </c>
      <c r="AD58" s="17">
        <v>0</v>
      </c>
      <c r="AE58" s="18">
        <v>0</v>
      </c>
      <c r="AF58" s="17">
        <v>0</v>
      </c>
      <c r="AG58" s="18">
        <v>36000</v>
      </c>
      <c r="AH58" s="17">
        <v>0</v>
      </c>
      <c r="AI58" s="18">
        <v>0</v>
      </c>
      <c r="AJ58" s="17">
        <v>0</v>
      </c>
      <c r="AK58" s="18">
        <v>0</v>
      </c>
      <c r="AL58" s="17">
        <v>0</v>
      </c>
      <c r="AM58" s="18">
        <v>0</v>
      </c>
      <c r="AN58" s="23">
        <v>0</v>
      </c>
      <c r="AO58" s="17">
        <v>0</v>
      </c>
      <c r="AP58" s="17">
        <v>0</v>
      </c>
      <c r="AQ58" s="18">
        <f>IFERROR(VLOOKUP(Ohj.lask.[[#This Row],[Y-tunnus]],#REF!,COLUMN(#REF!),FALSE),0)</f>
        <v>0</v>
      </c>
      <c r="AR58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58" s="17">
        <f>Ohj.lask.[[#This Row],[Jaettava € 1]]+Ohj.lask.[[#This Row],[Päätös, € 9]]</f>
        <v>10722386</v>
      </c>
      <c r="AT58" s="113">
        <f>Ohj.lask.[[#This Row],[Jaettava € 2]]</f>
        <v>3301165</v>
      </c>
      <c r="AU58" s="17">
        <f>Ohj.lask.[[#This Row],[Jaettava € 3]]+Ohj.lask.[[#This Row],[Jaettava € 4]]+Ohj.lask.[[#This Row],[Jaettava € 5]]</f>
        <v>1778212</v>
      </c>
      <c r="AV58" s="42">
        <f>Ohj.lask.[[#This Row],[Jaettava € 6]]+Ohj.lask.[[#This Row],[Päätös, € 9]]</f>
        <v>15801763</v>
      </c>
      <c r="AW58" s="42">
        <v>547014</v>
      </c>
      <c r="AX58" s="23">
        <f>Ohj.lask.[[#This Row],[Perus-, suoritus- ja vaikuttavuusrahoitus yhteensä, €]]+Ohj.lask.[[#This Row],[Alv-korvaus, €]]</f>
        <v>16348777</v>
      </c>
    </row>
    <row r="59" spans="1:50" ht="12.75" x14ac:dyDescent="0.2">
      <c r="A59" s="134" t="s">
        <v>335</v>
      </c>
      <c r="B59" s="14" t="s">
        <v>64</v>
      </c>
      <c r="C59" s="14" t="s">
        <v>216</v>
      </c>
      <c r="D59" s="14" t="s">
        <v>392</v>
      </c>
      <c r="E59" s="14" t="s">
        <v>438</v>
      </c>
      <c r="F59" s="117">
        <v>105</v>
      </c>
      <c r="G59" s="124">
        <f>Ohj.lask.[[#This Row],[Tavoitteelliset opiskelija-vuodet]]-Ohj.lask.[[#This Row],[Järjestämisluvan opisk.vuosien vähimmäismäärä]]</f>
        <v>20</v>
      </c>
      <c r="H59" s="41">
        <v>125</v>
      </c>
      <c r="I59" s="15">
        <f>IFERROR(VLOOKUP($A59,'2.1 Toteut. op.vuodet'!$A:$T,COLUMN('2.1 Toteut. op.vuodet'!T:T),FALSE),0)</f>
        <v>1.7201291439154389</v>
      </c>
      <c r="J59" s="81">
        <f t="shared" si="1"/>
        <v>215</v>
      </c>
      <c r="K59" s="16">
        <f>IFERROR(Ohj.lask.[[#This Row],[Painotetut opiskelija-vuodet]]/Ohj.lask.[[#Totals],[Painotetut opiskelija-vuodet]],0)</f>
        <v>1.0499523370473979E-3</v>
      </c>
      <c r="L59" s="17">
        <f>ROUND(IFERROR('1.1 Jakotaulu'!L$11*Ohj.lask.[[#This Row],[%-osuus 1]],0),0)</f>
        <v>1322385</v>
      </c>
      <c r="M59" s="186">
        <f>IFERROR(ROUND(VLOOKUP($A59,'2.2 Tutk. ja osien pain. pist.'!$A:$Q,COLUMN('2.2 Tutk. ja osien pain. pist.'!P:P),FALSE),1),0)</f>
        <v>20845.400000000001</v>
      </c>
      <c r="N59" s="16">
        <f>IFERROR(Ohj.lask.[[#This Row],[Painotetut pisteet 2]]/Ohj.lask.[[#Totals],[Painotetut pisteet 2]],0)</f>
        <v>1.3381925299128918E-3</v>
      </c>
      <c r="O59" s="23">
        <f>ROUND(IFERROR('1.1 Jakotaulu'!K$12*Ohj.lask.[[#This Row],[%-osuus 2]],0),0)</f>
        <v>491360</v>
      </c>
      <c r="P59" s="187">
        <f>IFERROR(ROUND(VLOOKUP($A59,'2.3 Työll. ja jatko-opisk.'!$A:$K,COLUMN('2.3 Työll. ja jatko-opisk.'!I:I),FALSE),1),0)</f>
        <v>128.19999999999999</v>
      </c>
      <c r="Q59" s="16">
        <f>IFERROR(Ohj.lask.[[#This Row],[Painotetut pisteet 3]]/Ohj.lask.[[#Totals],[Painotetut pisteet 3]],0)</f>
        <v>6.441469800711377E-4</v>
      </c>
      <c r="R59" s="17">
        <f>ROUND(IFERROR('1.1 Jakotaulu'!L$14*Ohj.lask.[[#This Row],[%-osuus 3]],0),0)</f>
        <v>88695</v>
      </c>
      <c r="S59" s="186">
        <f>IFERROR(ROUND(VLOOKUP($A59,'2.4 Aloittaneet palaute'!$A:$K,COLUMN('2.4 Aloittaneet palaute'!J:J),FALSE),1),0)</f>
        <v>1455.1</v>
      </c>
      <c r="T59" s="20">
        <f>IFERROR(Ohj.lask.[[#This Row],[Painotetut pisteet 4]]/Ohj.lask.[[#Totals],[Painotetut pisteet 4]],0)</f>
        <v>8.8399260170304189E-4</v>
      </c>
      <c r="U59" s="23">
        <f>ROUND(IFERROR('1.1 Jakotaulu'!M$16*Ohj.lask.[[#This Row],[%-osuus 4]],0),0)</f>
        <v>10143</v>
      </c>
      <c r="V59" s="81">
        <f>IFERROR(ROUND(VLOOKUP($A59,'2.5 Päättäneet palaute'!$A:$AC,COLUMN('2.5 Päättäneet palaute'!AB:AB),FALSE),1),0)</f>
        <v>2564.6</v>
      </c>
      <c r="W59" s="20">
        <f>IFERROR(Ohj.lask.[[#This Row],[Painotetut pisteet 5]]/Ohj.lask.[[#Totals],[Painotetut pisteet 5]],0)</f>
        <v>2.9746828806640651E-4</v>
      </c>
      <c r="X59" s="17">
        <f>ROUND(IFERROR('1.1 Jakotaulu'!M$17*Ohj.lask.[[#This Row],[%-osuus 5]],0),0)</f>
        <v>10240</v>
      </c>
      <c r="Y59" s="19">
        <f>IFERROR(Ohj.lask.[[#This Row],[Jaettava € 6]]/Ohj.lask.[[#Totals],[Jaettava € 6]],"")</f>
        <v>1.0621899536417689E-3</v>
      </c>
      <c r="Z59" s="23">
        <f>IFERROR(Ohj.lask.[[#This Row],[Jaettava € 1]]+Ohj.lask.[[#This Row],[Jaettava € 2]]+Ohj.lask.[[#This Row],[Jaettava € 3]]+Ohj.lask.[[#This Row],[Jaettava € 4]]+Ohj.lask.[[#This Row],[Jaettava € 5]],"")</f>
        <v>1922823</v>
      </c>
      <c r="AA59" s="17">
        <v>0</v>
      </c>
      <c r="AB59" s="17">
        <v>0</v>
      </c>
      <c r="AC59" s="18">
        <v>0</v>
      </c>
      <c r="AD59" s="17">
        <v>0</v>
      </c>
      <c r="AE59" s="18">
        <v>0</v>
      </c>
      <c r="AF59" s="17">
        <v>0</v>
      </c>
      <c r="AG59" s="18">
        <v>0</v>
      </c>
      <c r="AH59" s="17">
        <v>0</v>
      </c>
      <c r="AI59" s="18">
        <v>0</v>
      </c>
      <c r="AJ59" s="17">
        <v>0</v>
      </c>
      <c r="AK59" s="18">
        <v>0</v>
      </c>
      <c r="AL59" s="17">
        <v>0</v>
      </c>
      <c r="AM59" s="18">
        <v>25000</v>
      </c>
      <c r="AN59" s="23">
        <v>25000</v>
      </c>
      <c r="AO59" s="17">
        <v>0</v>
      </c>
      <c r="AP59" s="17">
        <v>0</v>
      </c>
      <c r="AQ59" s="18">
        <f>IFERROR(VLOOKUP(Ohj.lask.[[#This Row],[Y-tunnus]],#REF!,COLUMN(#REF!),FALSE),0)</f>
        <v>0</v>
      </c>
      <c r="AR59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25000</v>
      </c>
      <c r="AS59" s="17">
        <f>Ohj.lask.[[#This Row],[Jaettava € 1]]+Ohj.lask.[[#This Row],[Päätös, € 9]]</f>
        <v>1347385</v>
      </c>
      <c r="AT59" s="113">
        <f>Ohj.lask.[[#This Row],[Jaettava € 2]]</f>
        <v>491360</v>
      </c>
      <c r="AU59" s="17">
        <f>Ohj.lask.[[#This Row],[Jaettava € 3]]+Ohj.lask.[[#This Row],[Jaettava € 4]]+Ohj.lask.[[#This Row],[Jaettava € 5]]</f>
        <v>109078</v>
      </c>
      <c r="AV59" s="42">
        <f>Ohj.lask.[[#This Row],[Jaettava € 6]]+Ohj.lask.[[#This Row],[Päätös, € 9]]</f>
        <v>1947823</v>
      </c>
      <c r="AW59" s="42">
        <v>18694</v>
      </c>
      <c r="AX59" s="23">
        <f>Ohj.lask.[[#This Row],[Perus-, suoritus- ja vaikuttavuusrahoitus yhteensä, €]]+Ohj.lask.[[#This Row],[Alv-korvaus, €]]</f>
        <v>1966517</v>
      </c>
    </row>
    <row r="60" spans="1:50" ht="12.75" x14ac:dyDescent="0.2">
      <c r="A60" s="134" t="s">
        <v>334</v>
      </c>
      <c r="B60" s="14" t="s">
        <v>65</v>
      </c>
      <c r="C60" s="107" t="s">
        <v>295</v>
      </c>
      <c r="D60" s="107" t="s">
        <v>392</v>
      </c>
      <c r="E60" s="107" t="s">
        <v>438</v>
      </c>
      <c r="F60" s="116">
        <v>19</v>
      </c>
      <c r="G60" s="124">
        <f>Ohj.lask.[[#This Row],[Tavoitteelliset opiskelija-vuodet]]-Ohj.lask.[[#This Row],[Järjestämisluvan opisk.vuosien vähimmäismäärä]]</f>
        <v>0</v>
      </c>
      <c r="H60" s="41">
        <v>19</v>
      </c>
      <c r="I60" s="15">
        <f>IFERROR(VLOOKUP($A60,'2.1 Toteut. op.vuodet'!$A:$T,COLUMN('2.1 Toteut. op.vuodet'!T:T),FALSE),0)</f>
        <v>0.7995290328986564</v>
      </c>
      <c r="J60" s="81">
        <f t="shared" si="1"/>
        <v>15.2</v>
      </c>
      <c r="K60" s="16">
        <f>IFERROR(Ohj.lask.[[#This Row],[Painotetut opiskelija-vuodet]]/Ohj.lask.[[#Totals],[Painotetut opiskelija-vuodet]],0)</f>
        <v>7.4229188479629985E-5</v>
      </c>
      <c r="L60" s="17">
        <f>ROUND(IFERROR('1.1 Jakotaulu'!L$11*Ohj.lask.[[#This Row],[%-osuus 1]],0),0)</f>
        <v>93490</v>
      </c>
      <c r="M60" s="186">
        <f>IFERROR(ROUND(VLOOKUP($A60,'2.2 Tutk. ja osien pain. pist.'!$A:$Q,COLUMN('2.2 Tutk. ja osien pain. pist.'!P:P),FALSE),1),0)</f>
        <v>2192.1999999999998</v>
      </c>
      <c r="N60" s="16">
        <f>IFERROR(Ohj.lask.[[#This Row],[Painotetut pisteet 2]]/Ohj.lask.[[#Totals],[Painotetut pisteet 2]],0)</f>
        <v>1.4073060071166974E-4</v>
      </c>
      <c r="O60" s="23">
        <f>ROUND(IFERROR('1.1 Jakotaulu'!K$12*Ohj.lask.[[#This Row],[%-osuus 2]],0),0)</f>
        <v>51674</v>
      </c>
      <c r="P60" s="187">
        <f>IFERROR(ROUND(VLOOKUP($A60,'2.3 Työll. ja jatko-opisk.'!$A:$K,COLUMN('2.3 Työll. ja jatko-opisk.'!I:I),FALSE),1),0)</f>
        <v>31</v>
      </c>
      <c r="Q60" s="20">
        <f>IFERROR(Ohj.lask.[[#This Row],[Painotetut pisteet 3]]/Ohj.lask.[[#Totals],[Painotetut pisteet 3]],0)</f>
        <v>1.557609702200099E-4</v>
      </c>
      <c r="R60" s="17">
        <f>ROUND(IFERROR('1.1 Jakotaulu'!L$14*Ohj.lask.[[#This Row],[%-osuus 3]],0),0)</f>
        <v>21447</v>
      </c>
      <c r="S60" s="186">
        <f>IFERROR(ROUND(VLOOKUP($A60,'2.4 Aloittaneet palaute'!$A:$K,COLUMN('2.4 Aloittaneet palaute'!J:J),FALSE),1),0)</f>
        <v>245.8</v>
      </c>
      <c r="T60" s="20">
        <f>IFERROR(Ohj.lask.[[#This Row],[Painotetut pisteet 4]]/Ohj.lask.[[#Totals],[Painotetut pisteet 4]],0)</f>
        <v>1.4932676894963075E-4</v>
      </c>
      <c r="U60" s="23">
        <f>ROUND(IFERROR('1.1 Jakotaulu'!M$16*Ohj.lask.[[#This Row],[%-osuus 4]],0),0)</f>
        <v>1713</v>
      </c>
      <c r="V60" s="81">
        <f>IFERROR(ROUND(VLOOKUP($A60,'2.5 Päättäneet palaute'!$A:$AC,COLUMN('2.5 Päättäneet palaute'!AB:AB),FALSE),1),0)</f>
        <v>798.1</v>
      </c>
      <c r="W60" s="20">
        <f>IFERROR(Ohj.lask.[[#This Row],[Painotetut pisteet 5]]/Ohj.lask.[[#Totals],[Painotetut pisteet 5]],0)</f>
        <v>9.2571722961007187E-5</v>
      </c>
      <c r="X60" s="17">
        <f>ROUND(IFERROR('1.1 Jakotaulu'!M$17*Ohj.lask.[[#This Row],[%-osuus 5]],0),0)</f>
        <v>3187</v>
      </c>
      <c r="Y60" s="19">
        <f>IFERROR(Ohj.lask.[[#This Row],[Jaettava € 6]]/Ohj.lask.[[#Totals],[Jaettava € 6]],"")</f>
        <v>9.4744685880631465E-5</v>
      </c>
      <c r="Z60" s="23">
        <f>IFERROR(Ohj.lask.[[#This Row],[Jaettava € 1]]+Ohj.lask.[[#This Row],[Jaettava € 2]]+Ohj.lask.[[#This Row],[Jaettava € 3]]+Ohj.lask.[[#This Row],[Jaettava € 4]]+Ohj.lask.[[#This Row],[Jaettava € 5]],"")</f>
        <v>171511</v>
      </c>
      <c r="AA60" s="17">
        <v>0</v>
      </c>
      <c r="AB60" s="17">
        <v>0</v>
      </c>
      <c r="AC60" s="18">
        <v>0</v>
      </c>
      <c r="AD60" s="17">
        <v>0</v>
      </c>
      <c r="AE60" s="18">
        <v>0</v>
      </c>
      <c r="AF60" s="17">
        <v>0</v>
      </c>
      <c r="AG60" s="18">
        <v>0</v>
      </c>
      <c r="AH60" s="17">
        <v>0</v>
      </c>
      <c r="AI60" s="18">
        <v>0</v>
      </c>
      <c r="AJ60" s="17">
        <v>0</v>
      </c>
      <c r="AK60" s="18">
        <v>0</v>
      </c>
      <c r="AL60" s="17">
        <v>0</v>
      </c>
      <c r="AM60" s="18">
        <v>0</v>
      </c>
      <c r="AN60" s="23">
        <v>0</v>
      </c>
      <c r="AO60" s="17">
        <v>0</v>
      </c>
      <c r="AP60" s="17">
        <v>0</v>
      </c>
      <c r="AQ60" s="18">
        <f>IFERROR(VLOOKUP(Ohj.lask.[[#This Row],[Y-tunnus]],#REF!,COLUMN(#REF!),FALSE),0)</f>
        <v>0</v>
      </c>
      <c r="AR60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60" s="17">
        <f>Ohj.lask.[[#This Row],[Jaettava € 1]]+Ohj.lask.[[#This Row],[Päätös, € 9]]</f>
        <v>93490</v>
      </c>
      <c r="AT60" s="113">
        <f>Ohj.lask.[[#This Row],[Jaettava € 2]]</f>
        <v>51674</v>
      </c>
      <c r="AU60" s="17">
        <f>Ohj.lask.[[#This Row],[Jaettava € 3]]+Ohj.lask.[[#This Row],[Jaettava € 4]]+Ohj.lask.[[#This Row],[Jaettava € 5]]</f>
        <v>26347</v>
      </c>
      <c r="AV60" s="42">
        <f>Ohj.lask.[[#This Row],[Jaettava € 6]]+Ohj.lask.[[#This Row],[Päätös, € 9]]</f>
        <v>171511</v>
      </c>
      <c r="AW60" s="42">
        <v>8438</v>
      </c>
      <c r="AX60" s="23">
        <f>Ohj.lask.[[#This Row],[Perus-, suoritus- ja vaikuttavuusrahoitus yhteensä, €]]+Ohj.lask.[[#This Row],[Alv-korvaus, €]]</f>
        <v>179949</v>
      </c>
    </row>
    <row r="61" spans="1:50" ht="12.75" x14ac:dyDescent="0.2">
      <c r="A61" s="134" t="s">
        <v>333</v>
      </c>
      <c r="B61" s="14" t="s">
        <v>147</v>
      </c>
      <c r="C61" s="14" t="s">
        <v>216</v>
      </c>
      <c r="D61" s="14" t="s">
        <v>392</v>
      </c>
      <c r="E61" s="14" t="s">
        <v>438</v>
      </c>
      <c r="F61" s="117">
        <v>33</v>
      </c>
      <c r="G61" s="124">
        <f>Ohj.lask.[[#This Row],[Tavoitteelliset opiskelija-vuodet]]-Ohj.lask.[[#This Row],[Järjestämisluvan opisk.vuosien vähimmäismäärä]]</f>
        <v>0</v>
      </c>
      <c r="H61" s="41">
        <v>33</v>
      </c>
      <c r="I61" s="15">
        <f>IFERROR(VLOOKUP($A61,'2.1 Toteut. op.vuodet'!$A:$T,COLUMN('2.1 Toteut. op.vuodet'!T:T),FALSE),0)</f>
        <v>0.76239090678396171</v>
      </c>
      <c r="J61" s="81">
        <f t="shared" si="1"/>
        <v>25.2</v>
      </c>
      <c r="K61" s="16">
        <f>IFERROR(Ohj.lask.[[#This Row],[Painotetut opiskelija-vuodet]]/Ohj.lask.[[#Totals],[Painotetut opiskelija-vuodet]],0)</f>
        <v>1.2306418090043917E-4</v>
      </c>
      <c r="L61" s="17">
        <f>ROUND(IFERROR('1.1 Jakotaulu'!L$11*Ohj.lask.[[#This Row],[%-osuus 1]],0),0)</f>
        <v>154996</v>
      </c>
      <c r="M61" s="186">
        <f>IFERROR(ROUND(VLOOKUP($A61,'2.2 Tutk. ja osien pain. pist.'!$A:$Q,COLUMN('2.2 Tutk. ja osien pain. pist.'!P:P),FALSE),1),0)</f>
        <v>1825.1</v>
      </c>
      <c r="N61" s="16">
        <f>IFERROR(Ohj.lask.[[#This Row],[Painotetut pisteet 2]]/Ohj.lask.[[#Totals],[Painotetut pisteet 2]],0)</f>
        <v>1.1716422742398891E-4</v>
      </c>
      <c r="O61" s="23">
        <f>ROUND(IFERROR('1.1 Jakotaulu'!K$12*Ohj.lask.[[#This Row],[%-osuus 2]],0),0)</f>
        <v>43021</v>
      </c>
      <c r="P61" s="187">
        <f>IFERROR(ROUND(VLOOKUP($A61,'2.3 Työll. ja jatko-opisk.'!$A:$K,COLUMN('2.3 Työll. ja jatko-opisk.'!I:I),FALSE),1),0)</f>
        <v>41.2</v>
      </c>
      <c r="Q61" s="16">
        <f>IFERROR(Ohj.lask.[[#This Row],[Painotetut pisteet 3]]/Ohj.lask.[[#Totals],[Painotetut pisteet 3]],0)</f>
        <v>2.0701135396981963E-4</v>
      </c>
      <c r="R61" s="17">
        <f>ROUND(IFERROR('1.1 Jakotaulu'!L$14*Ohj.lask.[[#This Row],[%-osuus 3]],0),0)</f>
        <v>28504</v>
      </c>
      <c r="S61" s="186">
        <f>IFERROR(ROUND(VLOOKUP($A61,'2.4 Aloittaneet palaute'!$A:$K,COLUMN('2.4 Aloittaneet palaute'!J:J),FALSE),1),0)</f>
        <v>307.39999999999998</v>
      </c>
      <c r="T61" s="20">
        <f>IFERROR(Ohj.lask.[[#This Row],[Painotetut pisteet 4]]/Ohj.lask.[[#Totals],[Painotetut pisteet 4]],0)</f>
        <v>1.8674958818192225E-4</v>
      </c>
      <c r="U61" s="23">
        <f>ROUND(IFERROR('1.1 Jakotaulu'!M$16*Ohj.lask.[[#This Row],[%-osuus 4]],0),0)</f>
        <v>2143</v>
      </c>
      <c r="V61" s="81">
        <f>IFERROR(ROUND(VLOOKUP($A61,'2.5 Päättäneet palaute'!$A:$AC,COLUMN('2.5 Päättäneet palaute'!AB:AB),FALSE),1),0)</f>
        <v>3558.5</v>
      </c>
      <c r="W61" s="20">
        <f>IFERROR(Ohj.lask.[[#This Row],[Painotetut pisteet 5]]/Ohj.lask.[[#Totals],[Painotetut pisteet 5]],0)</f>
        <v>4.1275087853244463E-4</v>
      </c>
      <c r="X61" s="17">
        <f>ROUND(IFERROR('1.1 Jakotaulu'!M$17*Ohj.lask.[[#This Row],[%-osuus 5]],0),0)</f>
        <v>14208</v>
      </c>
      <c r="Y61" s="19">
        <f>IFERROR(Ohj.lask.[[#This Row],[Jaettava € 6]]/Ohj.lask.[[#Totals],[Jaettava € 6]],"")</f>
        <v>1.3416533837013793E-4</v>
      </c>
      <c r="Z61" s="23">
        <f>IFERROR(Ohj.lask.[[#This Row],[Jaettava € 1]]+Ohj.lask.[[#This Row],[Jaettava € 2]]+Ohj.lask.[[#This Row],[Jaettava € 3]]+Ohj.lask.[[#This Row],[Jaettava € 4]]+Ohj.lask.[[#This Row],[Jaettava € 5]],"")</f>
        <v>242872</v>
      </c>
      <c r="AA61" s="17">
        <v>0</v>
      </c>
      <c r="AB61" s="17">
        <v>0</v>
      </c>
      <c r="AC61" s="18">
        <v>100000</v>
      </c>
      <c r="AD61" s="17">
        <v>0</v>
      </c>
      <c r="AE61" s="18">
        <v>0</v>
      </c>
      <c r="AF61" s="17">
        <v>0</v>
      </c>
      <c r="AG61" s="18">
        <v>0</v>
      </c>
      <c r="AH61" s="17">
        <v>0</v>
      </c>
      <c r="AI61" s="18">
        <v>0</v>
      </c>
      <c r="AJ61" s="17">
        <v>0</v>
      </c>
      <c r="AK61" s="18">
        <v>0</v>
      </c>
      <c r="AL61" s="17">
        <v>0</v>
      </c>
      <c r="AM61" s="18">
        <v>20000</v>
      </c>
      <c r="AN61" s="23">
        <v>15000</v>
      </c>
      <c r="AO61" s="17">
        <v>0</v>
      </c>
      <c r="AP61" s="17">
        <v>0</v>
      </c>
      <c r="AQ61" s="18">
        <f>IFERROR(VLOOKUP(Ohj.lask.[[#This Row],[Y-tunnus]],#REF!,COLUMN(#REF!),FALSE),0)</f>
        <v>0</v>
      </c>
      <c r="AR61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15000</v>
      </c>
      <c r="AS61" s="17">
        <f>Ohj.lask.[[#This Row],[Jaettava € 1]]+Ohj.lask.[[#This Row],[Päätös, € 9]]</f>
        <v>169996</v>
      </c>
      <c r="AT61" s="113">
        <f>Ohj.lask.[[#This Row],[Jaettava € 2]]</f>
        <v>43021</v>
      </c>
      <c r="AU61" s="17">
        <f>Ohj.lask.[[#This Row],[Jaettava € 3]]+Ohj.lask.[[#This Row],[Jaettava € 4]]+Ohj.lask.[[#This Row],[Jaettava € 5]]</f>
        <v>44855</v>
      </c>
      <c r="AV61" s="42">
        <f>Ohj.lask.[[#This Row],[Jaettava € 6]]+Ohj.lask.[[#This Row],[Päätös, € 9]]</f>
        <v>257872</v>
      </c>
      <c r="AW61" s="42">
        <v>21155</v>
      </c>
      <c r="AX61" s="23">
        <f>Ohj.lask.[[#This Row],[Perus-, suoritus- ja vaikuttavuusrahoitus yhteensä, €]]+Ohj.lask.[[#This Row],[Alv-korvaus, €]]</f>
        <v>279027</v>
      </c>
    </row>
    <row r="62" spans="1:50" ht="12.75" x14ac:dyDescent="0.2">
      <c r="A62" s="134" t="s">
        <v>332</v>
      </c>
      <c r="B62" s="14" t="s">
        <v>163</v>
      </c>
      <c r="C62" s="14" t="s">
        <v>216</v>
      </c>
      <c r="D62" s="14" t="s">
        <v>392</v>
      </c>
      <c r="E62" s="14" t="s">
        <v>438</v>
      </c>
      <c r="F62" s="117">
        <v>0</v>
      </c>
      <c r="G62" s="124">
        <f>Ohj.lask.[[#This Row],[Tavoitteelliset opiskelija-vuodet]]-Ohj.lask.[[#This Row],[Järjestämisluvan opisk.vuosien vähimmäismäärä]]</f>
        <v>12</v>
      </c>
      <c r="H62" s="41">
        <v>12</v>
      </c>
      <c r="I62" s="15">
        <f>IFERROR(VLOOKUP($A62,'2.1 Toteut. op.vuodet'!$A:$T,COLUMN('2.1 Toteut. op.vuodet'!T:T),FALSE),0)</f>
        <v>0.43000000000000299</v>
      </c>
      <c r="J62" s="81">
        <f t="shared" si="1"/>
        <v>5.2</v>
      </c>
      <c r="K62" s="16">
        <f>IFERROR(Ohj.lask.[[#This Row],[Painotetut opiskelija-vuodet]]/Ohj.lask.[[#Totals],[Painotetut opiskelija-vuodet]],0)</f>
        <v>2.5394196058820784E-5</v>
      </c>
      <c r="L62" s="17">
        <f>ROUND(IFERROR('1.1 Jakotaulu'!L$11*Ohj.lask.[[#This Row],[%-osuus 1]],0),0)</f>
        <v>31983</v>
      </c>
      <c r="M62" s="186">
        <f>IFERROR(ROUND(VLOOKUP($A62,'2.2 Tutk. ja osien pain. pist.'!$A:$Q,COLUMN('2.2 Tutk. ja osien pain. pist.'!P:P),FALSE),1),0)</f>
        <v>0</v>
      </c>
      <c r="N62" s="16">
        <f>IFERROR(Ohj.lask.[[#This Row],[Painotetut pisteet 2]]/Ohj.lask.[[#Totals],[Painotetut pisteet 2]],0)</f>
        <v>0</v>
      </c>
      <c r="O62" s="23">
        <f>ROUND(IFERROR('1.1 Jakotaulu'!K$12*Ohj.lask.[[#This Row],[%-osuus 2]],0),0)</f>
        <v>0</v>
      </c>
      <c r="P62" s="187">
        <f>IFERROR(ROUND(VLOOKUP($A62,'2.3 Työll. ja jatko-opisk.'!$A:$K,COLUMN('2.3 Työll. ja jatko-opisk.'!I:I),FALSE),1),0)</f>
        <v>0</v>
      </c>
      <c r="Q62" s="16">
        <f>IFERROR(Ohj.lask.[[#This Row],[Painotetut pisteet 3]]/Ohj.lask.[[#Totals],[Painotetut pisteet 3]],0)</f>
        <v>0</v>
      </c>
      <c r="R62" s="17">
        <f>ROUND(IFERROR('1.1 Jakotaulu'!L$14*Ohj.lask.[[#This Row],[%-osuus 3]],0),0)</f>
        <v>0</v>
      </c>
      <c r="S62" s="186">
        <f>IFERROR(ROUND(VLOOKUP($A62,'2.4 Aloittaneet palaute'!$A:$K,COLUMN('2.4 Aloittaneet palaute'!J:J),FALSE),1),0)</f>
        <v>0</v>
      </c>
      <c r="T62" s="20">
        <f>IFERROR(Ohj.lask.[[#This Row],[Painotetut pisteet 4]]/Ohj.lask.[[#Totals],[Painotetut pisteet 4]],0)</f>
        <v>0</v>
      </c>
      <c r="U62" s="23">
        <f>ROUND(IFERROR('1.1 Jakotaulu'!M$16*Ohj.lask.[[#This Row],[%-osuus 4]],0),0)</f>
        <v>0</v>
      </c>
      <c r="V62" s="81">
        <f>IFERROR(ROUND(VLOOKUP($A62,'2.5 Päättäneet palaute'!$A:$AC,COLUMN('2.5 Päättäneet palaute'!AB:AB),FALSE),1),0)</f>
        <v>0</v>
      </c>
      <c r="W62" s="20">
        <f>IFERROR(Ohj.lask.[[#This Row],[Painotetut pisteet 5]]/Ohj.lask.[[#Totals],[Painotetut pisteet 5]],0)</f>
        <v>0</v>
      </c>
      <c r="X62" s="17">
        <f>ROUND(IFERROR('1.1 Jakotaulu'!M$17*Ohj.lask.[[#This Row],[%-osuus 5]],0),0)</f>
        <v>0</v>
      </c>
      <c r="Y62" s="19">
        <f>IFERROR(Ohj.lask.[[#This Row],[Jaettava € 6]]/Ohj.lask.[[#Totals],[Jaettava € 6]],"")</f>
        <v>1.7667783923598113E-5</v>
      </c>
      <c r="Z62" s="23">
        <f>IFERROR(Ohj.lask.[[#This Row],[Jaettava € 1]]+Ohj.lask.[[#This Row],[Jaettava € 2]]+Ohj.lask.[[#This Row],[Jaettava € 3]]+Ohj.lask.[[#This Row],[Jaettava € 4]]+Ohj.lask.[[#This Row],[Jaettava € 5]],"")</f>
        <v>31983</v>
      </c>
      <c r="AA62" s="17">
        <v>160000</v>
      </c>
      <c r="AB62" s="17">
        <v>0</v>
      </c>
      <c r="AC62" s="18">
        <v>0</v>
      </c>
      <c r="AD62" s="17">
        <v>0</v>
      </c>
      <c r="AE62" s="18">
        <v>0</v>
      </c>
      <c r="AF62" s="17">
        <v>0</v>
      </c>
      <c r="AG62" s="18">
        <v>0</v>
      </c>
      <c r="AH62" s="17">
        <v>0</v>
      </c>
      <c r="AI62" s="18">
        <v>0</v>
      </c>
      <c r="AJ62" s="17">
        <v>0</v>
      </c>
      <c r="AK62" s="18">
        <v>0</v>
      </c>
      <c r="AL62" s="17">
        <v>0</v>
      </c>
      <c r="AM62" s="18">
        <v>9000</v>
      </c>
      <c r="AN62" s="23">
        <v>0</v>
      </c>
      <c r="AO62" s="17">
        <v>0</v>
      </c>
      <c r="AP62" s="17">
        <v>0</v>
      </c>
      <c r="AQ62" s="18">
        <f>IFERROR(VLOOKUP(Ohj.lask.[[#This Row],[Y-tunnus]],#REF!,COLUMN(#REF!),FALSE),0)</f>
        <v>0</v>
      </c>
      <c r="AR62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62" s="17">
        <f>Ohj.lask.[[#This Row],[Jaettava € 1]]+Ohj.lask.[[#This Row],[Päätös, € 9]]</f>
        <v>31983</v>
      </c>
      <c r="AT62" s="113">
        <f>Ohj.lask.[[#This Row],[Jaettava € 2]]</f>
        <v>0</v>
      </c>
      <c r="AU62" s="17">
        <f>Ohj.lask.[[#This Row],[Jaettava € 3]]+Ohj.lask.[[#This Row],[Jaettava € 4]]+Ohj.lask.[[#This Row],[Jaettava € 5]]</f>
        <v>0</v>
      </c>
      <c r="AV62" s="42">
        <f>Ohj.lask.[[#This Row],[Jaettava € 6]]+Ohj.lask.[[#This Row],[Päätös, € 9]]</f>
        <v>31983</v>
      </c>
      <c r="AW62" s="42">
        <v>30687</v>
      </c>
      <c r="AX62" s="23">
        <f>Ohj.lask.[[#This Row],[Perus-, suoritus- ja vaikuttavuusrahoitus yhteensä, €]]+Ohj.lask.[[#This Row],[Alv-korvaus, €]]</f>
        <v>62670</v>
      </c>
    </row>
    <row r="63" spans="1:50" ht="12.75" x14ac:dyDescent="0.2">
      <c r="A63" s="134" t="s">
        <v>331</v>
      </c>
      <c r="B63" s="14" t="s">
        <v>66</v>
      </c>
      <c r="C63" s="14" t="s">
        <v>249</v>
      </c>
      <c r="D63" s="14" t="s">
        <v>392</v>
      </c>
      <c r="E63" s="14" t="s">
        <v>438</v>
      </c>
      <c r="F63" s="117">
        <v>97</v>
      </c>
      <c r="G63" s="124">
        <f>Ohj.lask.[[#This Row],[Tavoitteelliset opiskelija-vuodet]]-Ohj.lask.[[#This Row],[Järjestämisluvan opisk.vuosien vähimmäismäärä]]</f>
        <v>10</v>
      </c>
      <c r="H63" s="41">
        <v>107</v>
      </c>
      <c r="I63" s="15">
        <f>IFERROR(VLOOKUP($A63,'2.1 Toteut. op.vuodet'!$A:$T,COLUMN('2.1 Toteut. op.vuodet'!T:T),FALSE),0)</f>
        <v>1.0862183227085898</v>
      </c>
      <c r="J63" s="81">
        <f t="shared" si="1"/>
        <v>116.2</v>
      </c>
      <c r="K63" s="16">
        <f>IFERROR(Ohj.lask.[[#This Row],[Painotetut opiskelija-vuodet]]/Ohj.lask.[[#Totals],[Painotetut opiskelija-vuodet]],0)</f>
        <v>5.6746261192980297E-4</v>
      </c>
      <c r="L63" s="17">
        <f>ROUND(IFERROR('1.1 Jakotaulu'!L$11*Ohj.lask.[[#This Row],[%-osuus 1]],0),0)</f>
        <v>714703</v>
      </c>
      <c r="M63" s="186">
        <f>IFERROR(ROUND(VLOOKUP($A63,'2.2 Tutk. ja osien pain. pist.'!$A:$Q,COLUMN('2.2 Tutk. ja osien pain. pist.'!P:P),FALSE),1),0)</f>
        <v>10745.7</v>
      </c>
      <c r="N63" s="16">
        <f>IFERROR(Ohj.lask.[[#This Row],[Painotetut pisteet 2]]/Ohj.lask.[[#Totals],[Painotetut pisteet 2]],0)</f>
        <v>6.8983159203876926E-4</v>
      </c>
      <c r="O63" s="23">
        <f>ROUND(IFERROR('1.1 Jakotaulu'!K$12*Ohj.lask.[[#This Row],[%-osuus 2]],0),0)</f>
        <v>253294</v>
      </c>
      <c r="P63" s="187">
        <f>IFERROR(ROUND(VLOOKUP($A63,'2.3 Työll. ja jatko-opisk.'!$A:$K,COLUMN('2.3 Työll. ja jatko-opisk.'!I:I),FALSE),1),0)</f>
        <v>101</v>
      </c>
      <c r="Q63" s="16">
        <f>IFERROR(Ohj.lask.[[#This Row],[Painotetut pisteet 3]]/Ohj.lask.[[#Totals],[Painotetut pisteet 3]],0)</f>
        <v>5.0747929007164522E-4</v>
      </c>
      <c r="R63" s="17">
        <f>ROUND(IFERROR('1.1 Jakotaulu'!L$14*Ohj.lask.[[#This Row],[%-osuus 3]],0),0)</f>
        <v>69876</v>
      </c>
      <c r="S63" s="186">
        <f>IFERROR(ROUND(VLOOKUP($A63,'2.4 Aloittaneet palaute'!$A:$K,COLUMN('2.4 Aloittaneet palaute'!J:J),FALSE),1),0)</f>
        <v>1240.2</v>
      </c>
      <c r="T63" s="20">
        <f>IFERROR(Ohj.lask.[[#This Row],[Painotetut pisteet 4]]/Ohj.lask.[[#Totals],[Painotetut pisteet 4]],0)</f>
        <v>7.534379936994795E-4</v>
      </c>
      <c r="U63" s="23">
        <f>ROUND(IFERROR('1.1 Jakotaulu'!M$16*Ohj.lask.[[#This Row],[%-osuus 4]],0),0)</f>
        <v>8645</v>
      </c>
      <c r="V63" s="81">
        <f>IFERROR(ROUND(VLOOKUP($A63,'2.5 Päättäneet palaute'!$A:$AC,COLUMN('2.5 Päättäneet palaute'!AB:AB),FALSE),1),0)</f>
        <v>9314.1</v>
      </c>
      <c r="W63" s="20">
        <f>IFERROR(Ohj.lask.[[#This Row],[Painotetut pisteet 5]]/Ohj.lask.[[#Totals],[Painotetut pisteet 5]],0)</f>
        <v>1.0803436722605152E-3</v>
      </c>
      <c r="X63" s="17">
        <f>ROUND(IFERROR('1.1 Jakotaulu'!M$17*Ohj.lask.[[#This Row],[%-osuus 5]],0),0)</f>
        <v>37189</v>
      </c>
      <c r="Y63" s="19">
        <f>IFERROR(Ohj.lask.[[#This Row],[Jaettava € 6]]/Ohj.lask.[[#Totals],[Jaettava € 6]],"")</f>
        <v>5.9865244387614491E-4</v>
      </c>
      <c r="Z63" s="23">
        <f>IFERROR(Ohj.lask.[[#This Row],[Jaettava € 1]]+Ohj.lask.[[#This Row],[Jaettava € 2]]+Ohj.lask.[[#This Row],[Jaettava € 3]]+Ohj.lask.[[#This Row],[Jaettava € 4]]+Ohj.lask.[[#This Row],[Jaettava € 5]],"")</f>
        <v>1083707</v>
      </c>
      <c r="AA63" s="17">
        <v>0</v>
      </c>
      <c r="AB63" s="17">
        <v>0</v>
      </c>
      <c r="AC63" s="18">
        <v>0</v>
      </c>
      <c r="AD63" s="17">
        <v>0</v>
      </c>
      <c r="AE63" s="18">
        <v>0</v>
      </c>
      <c r="AF63" s="17">
        <v>0</v>
      </c>
      <c r="AG63" s="18">
        <v>0</v>
      </c>
      <c r="AH63" s="17">
        <v>0</v>
      </c>
      <c r="AI63" s="18">
        <v>0</v>
      </c>
      <c r="AJ63" s="17">
        <v>0</v>
      </c>
      <c r="AK63" s="18">
        <v>0</v>
      </c>
      <c r="AL63" s="17">
        <v>0</v>
      </c>
      <c r="AM63" s="18">
        <v>7000</v>
      </c>
      <c r="AN63" s="23">
        <v>5000</v>
      </c>
      <c r="AO63" s="17">
        <v>0</v>
      </c>
      <c r="AP63" s="17">
        <v>0</v>
      </c>
      <c r="AQ63" s="18">
        <f>IFERROR(VLOOKUP(Ohj.lask.[[#This Row],[Y-tunnus]],#REF!,COLUMN(#REF!),FALSE),0)</f>
        <v>0</v>
      </c>
      <c r="AR63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5000</v>
      </c>
      <c r="AS63" s="17">
        <f>Ohj.lask.[[#This Row],[Jaettava € 1]]+Ohj.lask.[[#This Row],[Päätös, € 9]]</f>
        <v>719703</v>
      </c>
      <c r="AT63" s="113">
        <f>Ohj.lask.[[#This Row],[Jaettava € 2]]</f>
        <v>253294</v>
      </c>
      <c r="AU63" s="17">
        <f>Ohj.lask.[[#This Row],[Jaettava € 3]]+Ohj.lask.[[#This Row],[Jaettava € 4]]+Ohj.lask.[[#This Row],[Jaettava € 5]]</f>
        <v>115710</v>
      </c>
      <c r="AV63" s="42">
        <f>Ohj.lask.[[#This Row],[Jaettava € 6]]+Ohj.lask.[[#This Row],[Päätös, € 9]]</f>
        <v>1088707</v>
      </c>
      <c r="AW63" s="42">
        <v>65216</v>
      </c>
      <c r="AX63" s="23">
        <f>Ohj.lask.[[#This Row],[Perus-, suoritus- ja vaikuttavuusrahoitus yhteensä, €]]+Ohj.lask.[[#This Row],[Alv-korvaus, €]]</f>
        <v>1153923</v>
      </c>
    </row>
    <row r="64" spans="1:50" ht="12.75" x14ac:dyDescent="0.2">
      <c r="A64" s="134" t="s">
        <v>330</v>
      </c>
      <c r="B64" s="14" t="s">
        <v>67</v>
      </c>
      <c r="C64" s="14" t="s">
        <v>234</v>
      </c>
      <c r="D64" s="14" t="s">
        <v>391</v>
      </c>
      <c r="E64" s="14" t="s">
        <v>438</v>
      </c>
      <c r="F64" s="117">
        <v>2316</v>
      </c>
      <c r="G64" s="124">
        <f>Ohj.lask.[[#This Row],[Tavoitteelliset opiskelija-vuodet]]-Ohj.lask.[[#This Row],[Järjestämisluvan opisk.vuosien vähimmäismäärä]]</f>
        <v>184</v>
      </c>
      <c r="H64" s="41">
        <v>2500</v>
      </c>
      <c r="I64" s="15">
        <f>IFERROR(VLOOKUP($A64,'2.1 Toteut. op.vuodet'!$A:$T,COLUMN('2.1 Toteut. op.vuodet'!T:T),FALSE),0)</f>
        <v>1.0878690165322973</v>
      </c>
      <c r="J64" s="81">
        <f t="shared" si="1"/>
        <v>2719.7</v>
      </c>
      <c r="K64" s="16">
        <f>IFERROR(Ohj.lask.[[#This Row],[Painotetut opiskelija-vuodet]]/Ohj.lask.[[#Totals],[Painotetut opiskelija-vuodet]],0)</f>
        <v>1.3281652888687477E-2</v>
      </c>
      <c r="L64" s="17">
        <f>ROUND(IFERROR('1.1 Jakotaulu'!L$11*Ohj.lask.[[#This Row],[%-osuus 1]],0),0)</f>
        <v>16727857</v>
      </c>
      <c r="M64" s="186">
        <f>IFERROR(ROUND(VLOOKUP($A64,'2.2 Tutk. ja osien pain. pist.'!$A:$Q,COLUMN('2.2 Tutk. ja osien pain. pist.'!P:P),FALSE),1),0)</f>
        <v>194757.5</v>
      </c>
      <c r="N64" s="16">
        <f>IFERROR(Ohj.lask.[[#This Row],[Painotetut pisteet 2]]/Ohj.lask.[[#Totals],[Painotetut pisteet 2]],0)</f>
        <v>1.2502663975961602E-2</v>
      </c>
      <c r="O64" s="23">
        <f>ROUND(IFERROR('1.1 Jakotaulu'!K$12*Ohj.lask.[[#This Row],[%-osuus 2]],0),0)</f>
        <v>4590753</v>
      </c>
      <c r="P64" s="187">
        <f>IFERROR(ROUND(VLOOKUP($A64,'2.3 Työll. ja jatko-opisk.'!$A:$K,COLUMN('2.3 Työll. ja jatko-opisk.'!I:I),FALSE),1),0)</f>
        <v>2703.3</v>
      </c>
      <c r="Q64" s="16">
        <f>IFERROR(Ohj.lask.[[#This Row],[Painotetut pisteet 3]]/Ohj.lask.[[#Totals],[Painotetut pisteet 3]],0)</f>
        <v>1.3582859057927511E-2</v>
      </c>
      <c r="R64" s="17">
        <f>ROUND(IFERROR('1.1 Jakotaulu'!L$14*Ohj.lask.[[#This Row],[%-osuus 3]],0),0)</f>
        <v>1870268</v>
      </c>
      <c r="S64" s="186">
        <f>IFERROR(ROUND(VLOOKUP($A64,'2.4 Aloittaneet palaute'!$A:$K,COLUMN('2.4 Aloittaneet palaute'!J:J),FALSE),1),0)</f>
        <v>12869.7</v>
      </c>
      <c r="T64" s="20">
        <f>IFERROR(Ohj.lask.[[#This Row],[Painotetut pisteet 4]]/Ohj.lask.[[#Totals],[Painotetut pisteet 4]],0)</f>
        <v>7.8185139070425669E-3</v>
      </c>
      <c r="U64" s="23">
        <f>ROUND(IFERROR('1.1 Jakotaulu'!M$16*Ohj.lask.[[#This Row],[%-osuus 4]],0),0)</f>
        <v>89713</v>
      </c>
      <c r="V64" s="81">
        <f>IFERROR(ROUND(VLOOKUP($A64,'2.5 Päättäneet palaute'!$A:$AC,COLUMN('2.5 Päättäneet palaute'!AB:AB),FALSE),1),0)</f>
        <v>83865.899999999994</v>
      </c>
      <c r="W64" s="20">
        <f>IFERROR(Ohj.lask.[[#This Row],[Painotetut pisteet 5]]/Ohj.lask.[[#Totals],[Painotetut pisteet 5]],0)</f>
        <v>9.7276166654248E-3</v>
      </c>
      <c r="X64" s="17">
        <f>ROUND(IFERROR('1.1 Jakotaulu'!M$17*Ohj.lask.[[#This Row],[%-osuus 5]],0),0)</f>
        <v>334857</v>
      </c>
      <c r="Y64" s="19">
        <f>IFERROR(Ohj.lask.[[#This Row],[Jaettava € 6]]/Ohj.lask.[[#Totals],[Jaettava € 6]],"")</f>
        <v>1.3044345338308477E-2</v>
      </c>
      <c r="Z64" s="23">
        <f>IFERROR(Ohj.lask.[[#This Row],[Jaettava € 1]]+Ohj.lask.[[#This Row],[Jaettava € 2]]+Ohj.lask.[[#This Row],[Jaettava € 3]]+Ohj.lask.[[#This Row],[Jaettava € 4]]+Ohj.lask.[[#This Row],[Jaettava € 5]],"")</f>
        <v>23613448</v>
      </c>
      <c r="AA64" s="17">
        <v>0</v>
      </c>
      <c r="AB64" s="17">
        <v>0</v>
      </c>
      <c r="AC64" s="18">
        <v>0</v>
      </c>
      <c r="AD64" s="17">
        <v>0</v>
      </c>
      <c r="AE64" s="18">
        <v>0</v>
      </c>
      <c r="AF64" s="17">
        <v>0</v>
      </c>
      <c r="AG64" s="18">
        <v>26400</v>
      </c>
      <c r="AH64" s="17">
        <v>0</v>
      </c>
      <c r="AI64" s="18">
        <v>0</v>
      </c>
      <c r="AJ64" s="17">
        <v>0</v>
      </c>
      <c r="AK64" s="18">
        <v>0</v>
      </c>
      <c r="AL64" s="17">
        <v>0</v>
      </c>
      <c r="AM64" s="18">
        <v>0</v>
      </c>
      <c r="AN64" s="23">
        <v>0</v>
      </c>
      <c r="AO64" s="17">
        <v>40000</v>
      </c>
      <c r="AP64" s="17">
        <v>17000</v>
      </c>
      <c r="AQ64" s="18">
        <f>IFERROR(VLOOKUP(Ohj.lask.[[#This Row],[Y-tunnus]],#REF!,COLUMN(#REF!),FALSE),0)</f>
        <v>0</v>
      </c>
      <c r="AR64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17000</v>
      </c>
      <c r="AS64" s="17">
        <f>Ohj.lask.[[#This Row],[Jaettava € 1]]+Ohj.lask.[[#This Row],[Päätös, € 9]]</f>
        <v>16744857</v>
      </c>
      <c r="AT64" s="113">
        <f>Ohj.lask.[[#This Row],[Jaettava € 2]]</f>
        <v>4590753</v>
      </c>
      <c r="AU64" s="17">
        <f>Ohj.lask.[[#This Row],[Jaettava € 3]]+Ohj.lask.[[#This Row],[Jaettava € 4]]+Ohj.lask.[[#This Row],[Jaettava € 5]]</f>
        <v>2294838</v>
      </c>
      <c r="AV64" s="42">
        <f>Ohj.lask.[[#This Row],[Jaettava € 6]]+Ohj.lask.[[#This Row],[Päätös, € 9]]</f>
        <v>23630448</v>
      </c>
      <c r="AW64" s="42">
        <v>0</v>
      </c>
      <c r="AX64" s="23">
        <f>Ohj.lask.[[#This Row],[Perus-, suoritus- ja vaikuttavuusrahoitus yhteensä, €]]+Ohj.lask.[[#This Row],[Alv-korvaus, €]]</f>
        <v>23630448</v>
      </c>
    </row>
    <row r="65" spans="1:50" ht="12.75" x14ac:dyDescent="0.2">
      <c r="A65" s="134" t="s">
        <v>329</v>
      </c>
      <c r="B65" s="14" t="s">
        <v>68</v>
      </c>
      <c r="C65" s="14" t="s">
        <v>230</v>
      </c>
      <c r="D65" s="14" t="s">
        <v>391</v>
      </c>
      <c r="E65" s="14" t="s">
        <v>438</v>
      </c>
      <c r="F65" s="117">
        <v>5467</v>
      </c>
      <c r="G65" s="124">
        <f>Ohj.lask.[[#This Row],[Tavoitteelliset opiskelija-vuodet]]-Ohj.lask.[[#This Row],[Järjestämisluvan opisk.vuosien vähimmäismäärä]]</f>
        <v>761</v>
      </c>
      <c r="H65" s="41">
        <v>6228</v>
      </c>
      <c r="I65" s="15">
        <f>IFERROR(VLOOKUP($A65,'2.1 Toteut. op.vuodet'!$A:$T,COLUMN('2.1 Toteut. op.vuodet'!T:T),FALSE),0)</f>
        <v>1.0219457201065361</v>
      </c>
      <c r="J65" s="81">
        <f t="shared" si="1"/>
        <v>6364.7</v>
      </c>
      <c r="K65" s="16">
        <f>IFERROR(Ohj.lask.[[#This Row],[Painotetut opiskelija-vuodet]]/Ohj.lask.[[#Totals],[Painotetut opiskelija-vuodet]],0)</f>
        <v>3.1082007626072432E-2</v>
      </c>
      <c r="L65" s="17">
        <f>ROUND(IFERROR('1.1 Jakotaulu'!L$11*Ohj.lask.[[#This Row],[%-osuus 1]],0),0)</f>
        <v>39146887</v>
      </c>
      <c r="M65" s="186">
        <f>IFERROR(ROUND(VLOOKUP($A65,'2.2 Tutk. ja osien pain. pist.'!$A:$Q,COLUMN('2.2 Tutk. ja osien pain. pist.'!P:P),FALSE),1),0)</f>
        <v>493363.20000000001</v>
      </c>
      <c r="N65" s="16">
        <f>IFERROR(Ohj.lask.[[#This Row],[Painotetut pisteet 2]]/Ohj.lask.[[#Totals],[Painotetut pisteet 2]],0)</f>
        <v>3.1671973134308765E-2</v>
      </c>
      <c r="O65" s="23">
        <f>ROUND(IFERROR('1.1 Jakotaulu'!K$12*Ohj.lask.[[#This Row],[%-osuus 2]],0),0)</f>
        <v>11629378</v>
      </c>
      <c r="P65" s="187">
        <f>IFERROR(ROUND(VLOOKUP($A65,'2.3 Työll. ja jatko-opisk.'!$A:$K,COLUMN('2.3 Työll. ja jatko-opisk.'!I:I),FALSE),1),0)</f>
        <v>7100.4</v>
      </c>
      <c r="Q65" s="16">
        <f>IFERROR(Ohj.lask.[[#This Row],[Painotetut pisteet 3]]/Ohj.lask.[[#Totals],[Painotetut pisteet 3]],0)</f>
        <v>3.5676296546779299E-2</v>
      </c>
      <c r="R65" s="17">
        <f>ROUND(IFERROR('1.1 Jakotaulu'!L$14*Ohj.lask.[[#This Row],[%-osuus 3]],0),0)</f>
        <v>4912385</v>
      </c>
      <c r="S65" s="186">
        <f>IFERROR(ROUND(VLOOKUP($A65,'2.4 Aloittaneet palaute'!$A:$K,COLUMN('2.4 Aloittaneet palaute'!J:J),FALSE),1),0)</f>
        <v>45741.599999999999</v>
      </c>
      <c r="T65" s="20">
        <f>IFERROR(Ohj.lask.[[#This Row],[Painotetut pisteet 4]]/Ohj.lask.[[#Totals],[Painotetut pisteet 4]],0)</f>
        <v>2.7788630327853659E-2</v>
      </c>
      <c r="U65" s="23">
        <f>ROUND(IFERROR('1.1 Jakotaulu'!M$16*Ohj.lask.[[#This Row],[%-osuus 4]],0),0)</f>
        <v>318859</v>
      </c>
      <c r="V65" s="81">
        <f>IFERROR(ROUND(VLOOKUP($A65,'2.5 Päättäneet palaute'!$A:$AC,COLUMN('2.5 Päättäneet palaute'!AB:AB),FALSE),1),0)</f>
        <v>215510</v>
      </c>
      <c r="W65" s="20">
        <f>IFERROR(Ohj.lask.[[#This Row],[Painotetut pisteet 5]]/Ohj.lask.[[#Totals],[Painotetut pisteet 5]],0)</f>
        <v>2.4997032972467935E-2</v>
      </c>
      <c r="X65" s="17">
        <f>ROUND(IFERROR('1.1 Jakotaulu'!M$17*Ohj.lask.[[#This Row],[%-osuus 5]],0),0)</f>
        <v>860481</v>
      </c>
      <c r="Y65" s="19">
        <f>IFERROR(Ohj.lask.[[#This Row],[Jaettava € 6]]/Ohj.lask.[[#Totals],[Jaettava € 6]],"")</f>
        <v>3.1414543960520847E-2</v>
      </c>
      <c r="Z65" s="23">
        <f>IFERROR(Ohj.lask.[[#This Row],[Jaettava € 1]]+Ohj.lask.[[#This Row],[Jaettava € 2]]+Ohj.lask.[[#This Row],[Jaettava € 3]]+Ohj.lask.[[#This Row],[Jaettava € 4]]+Ohj.lask.[[#This Row],[Jaettava € 5]],"")</f>
        <v>56867990</v>
      </c>
      <c r="AA65" s="17">
        <v>0</v>
      </c>
      <c r="AB65" s="17">
        <v>0</v>
      </c>
      <c r="AC65" s="18">
        <v>0</v>
      </c>
      <c r="AD65" s="17">
        <v>0</v>
      </c>
      <c r="AE65" s="18">
        <v>0</v>
      </c>
      <c r="AF65" s="17">
        <v>0</v>
      </c>
      <c r="AG65" s="18">
        <v>795000</v>
      </c>
      <c r="AH65" s="17">
        <v>0</v>
      </c>
      <c r="AI65" s="18">
        <v>0</v>
      </c>
      <c r="AJ65" s="17">
        <v>0</v>
      </c>
      <c r="AK65" s="18">
        <v>0</v>
      </c>
      <c r="AL65" s="17">
        <v>0</v>
      </c>
      <c r="AM65" s="18">
        <v>120000</v>
      </c>
      <c r="AN65" s="23">
        <v>100000</v>
      </c>
      <c r="AO65" s="17">
        <v>100000</v>
      </c>
      <c r="AP65" s="17">
        <v>29000</v>
      </c>
      <c r="AQ65" s="18">
        <f>IFERROR(VLOOKUP(Ohj.lask.[[#This Row],[Y-tunnus]],#REF!,COLUMN(#REF!),FALSE),0)</f>
        <v>0</v>
      </c>
      <c r="AR65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129000</v>
      </c>
      <c r="AS65" s="17">
        <f>Ohj.lask.[[#This Row],[Jaettava € 1]]+Ohj.lask.[[#This Row],[Päätös, € 9]]</f>
        <v>39275887</v>
      </c>
      <c r="AT65" s="113">
        <f>Ohj.lask.[[#This Row],[Jaettava € 2]]</f>
        <v>11629378</v>
      </c>
      <c r="AU65" s="17">
        <f>Ohj.lask.[[#This Row],[Jaettava € 3]]+Ohj.lask.[[#This Row],[Jaettava € 4]]+Ohj.lask.[[#This Row],[Jaettava € 5]]</f>
        <v>6091725</v>
      </c>
      <c r="AV65" s="42">
        <f>Ohj.lask.[[#This Row],[Jaettava € 6]]+Ohj.lask.[[#This Row],[Päätös, € 9]]</f>
        <v>56996990</v>
      </c>
      <c r="AW65" s="42">
        <v>0</v>
      </c>
      <c r="AX65" s="23">
        <f>Ohj.lask.[[#This Row],[Perus-, suoritus- ja vaikuttavuusrahoitus yhteensä, €]]+Ohj.lask.[[#This Row],[Alv-korvaus, €]]</f>
        <v>56996990</v>
      </c>
    </row>
    <row r="66" spans="1:50" ht="12.75" x14ac:dyDescent="0.2">
      <c r="A66" s="134" t="s">
        <v>297</v>
      </c>
      <c r="B66" s="14" t="s">
        <v>530</v>
      </c>
      <c r="C66" s="14" t="s">
        <v>224</v>
      </c>
      <c r="D66" s="14" t="s">
        <v>391</v>
      </c>
      <c r="E66" s="14" t="s">
        <v>438</v>
      </c>
      <c r="F66" s="117">
        <v>6490</v>
      </c>
      <c r="G66" s="124">
        <f>Ohj.lask.[[#This Row],[Tavoitteelliset opiskelija-vuodet]]-Ohj.lask.[[#This Row],[Järjestämisluvan opisk.vuosien vähimmäismäärä]]</f>
        <v>447</v>
      </c>
      <c r="H66" s="41">
        <v>6937</v>
      </c>
      <c r="I66" s="15">
        <f>IFERROR(VLOOKUP($A66,'2.1 Toteut. op.vuodet'!$A:$T,COLUMN('2.1 Toteut. op.vuodet'!T:T),FALSE),0)</f>
        <v>1.1091053744146857</v>
      </c>
      <c r="J66" s="81">
        <f t="shared" si="1"/>
        <v>7693.9</v>
      </c>
      <c r="K66" s="16">
        <f>IFERROR(Ohj.lask.[[#This Row],[Painotetut opiskelija-vuodet]]/Ohj.lask.[[#Totals],[Painotetut opiskelija-vuodet]],0)</f>
        <v>3.7573154818646391E-2</v>
      </c>
      <c r="L66" s="17">
        <f>ROUND(IFERROR('1.1 Jakotaulu'!L$11*Ohj.lask.[[#This Row],[%-osuus 1]],0),0)</f>
        <v>47322299</v>
      </c>
      <c r="M66" s="186">
        <f>IFERROR(ROUND(VLOOKUP($A66,'2.2 Tutk. ja osien pain. pist.'!$A:$Q,COLUMN('2.2 Tutk. ja osien pain. pist.'!P:P),FALSE),1),0)</f>
        <v>587233.4</v>
      </c>
      <c r="N66" s="16">
        <f>IFERROR(Ohj.lask.[[#This Row],[Painotetut pisteet 2]]/Ohj.lask.[[#Totals],[Painotetut pisteet 2]],0)</f>
        <v>3.7698070039210045E-2</v>
      </c>
      <c r="O66" s="23">
        <f>ROUND(IFERROR('1.1 Jakotaulu'!K$12*Ohj.lask.[[#This Row],[%-osuus 2]],0),0)</f>
        <v>13842053</v>
      </c>
      <c r="P66" s="187">
        <f>IFERROR(ROUND(VLOOKUP($A66,'2.3 Työll. ja jatko-opisk.'!$A:$K,COLUMN('2.3 Työll. ja jatko-opisk.'!I:I),FALSE),1),0)</f>
        <v>8613.1</v>
      </c>
      <c r="Q66" s="16">
        <f>IFERROR(Ohj.lask.[[#This Row],[Painotetut pisteet 3]]/Ohj.lask.[[#Totals],[Painotetut pisteet 3]],0)</f>
        <v>4.3276929438773142E-2</v>
      </c>
      <c r="R66" s="17">
        <f>ROUND(IFERROR('1.1 Jakotaulu'!L$14*Ohj.lask.[[#This Row],[%-osuus 3]],0),0)</f>
        <v>5958941</v>
      </c>
      <c r="S66" s="186">
        <f>IFERROR(ROUND(VLOOKUP($A66,'2.4 Aloittaneet palaute'!$A:$K,COLUMN('2.4 Aloittaneet palaute'!J:J),FALSE),1),0)</f>
        <v>73107.5</v>
      </c>
      <c r="T66" s="20">
        <f>IFERROR(Ohj.lask.[[#This Row],[Painotetut pisteet 4]]/Ohj.lask.[[#Totals],[Painotetut pisteet 4]],0)</f>
        <v>4.441377852312909E-2</v>
      </c>
      <c r="U66" s="23">
        <f>ROUND(IFERROR('1.1 Jakotaulu'!M$16*Ohj.lask.[[#This Row],[%-osuus 4]],0),0)</f>
        <v>509623</v>
      </c>
      <c r="V66" s="81">
        <f>IFERROR(ROUND(VLOOKUP($A66,'2.5 Päättäneet palaute'!$A:$AC,COLUMN('2.5 Päättäneet palaute'!AB:AB),FALSE),1),0)</f>
        <v>384614.6</v>
      </c>
      <c r="W66" s="20">
        <f>IFERROR(Ohj.lask.[[#This Row],[Painotetut pisteet 5]]/Ohj.lask.[[#Totals],[Painotetut pisteet 5]],0)</f>
        <v>4.4611497554139325E-2</v>
      </c>
      <c r="X66" s="17">
        <f>ROUND(IFERROR('1.1 Jakotaulu'!M$17*Ohj.lask.[[#This Row],[%-osuus 5]],0),0)</f>
        <v>1535676</v>
      </c>
      <c r="Y66" s="19">
        <f>IFERROR(Ohj.lask.[[#This Row],[Jaettava € 6]]/Ohj.lask.[[#Totals],[Jaettava € 6]],"")</f>
        <v>3.8209540623316045E-2</v>
      </c>
      <c r="Z66" s="23">
        <f>IFERROR(Ohj.lask.[[#This Row],[Jaettava € 1]]+Ohj.lask.[[#This Row],[Jaettava € 2]]+Ohj.lask.[[#This Row],[Jaettava € 3]]+Ohj.lask.[[#This Row],[Jaettava € 4]]+Ohj.lask.[[#This Row],[Jaettava € 5]],"")</f>
        <v>69168592</v>
      </c>
      <c r="AA66" s="17">
        <v>400000</v>
      </c>
      <c r="AB66" s="17">
        <v>0</v>
      </c>
      <c r="AC66" s="18">
        <v>0</v>
      </c>
      <c r="AD66" s="17">
        <v>0</v>
      </c>
      <c r="AE66" s="18">
        <v>0</v>
      </c>
      <c r="AF66" s="17">
        <v>0</v>
      </c>
      <c r="AG66" s="18">
        <v>20000</v>
      </c>
      <c r="AH66" s="17">
        <v>0</v>
      </c>
      <c r="AI66" s="18">
        <v>0</v>
      </c>
      <c r="AJ66" s="17">
        <v>0</v>
      </c>
      <c r="AK66" s="18">
        <v>0</v>
      </c>
      <c r="AL66" s="17">
        <v>0</v>
      </c>
      <c r="AM66" s="18">
        <v>190000</v>
      </c>
      <c r="AN66" s="23">
        <v>135000</v>
      </c>
      <c r="AO66" s="17">
        <v>80000</v>
      </c>
      <c r="AP66" s="17">
        <v>35000</v>
      </c>
      <c r="AQ66" s="18">
        <f>IFERROR(VLOOKUP(Ohj.lask.[[#This Row],[Y-tunnus]],#REF!,COLUMN(#REF!),FALSE),0)</f>
        <v>0</v>
      </c>
      <c r="AR66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170000</v>
      </c>
      <c r="AS66" s="17">
        <f>Ohj.lask.[[#This Row],[Jaettava € 1]]+Ohj.lask.[[#This Row],[Päätös, € 9]]</f>
        <v>47492299</v>
      </c>
      <c r="AT66" s="113">
        <f>Ohj.lask.[[#This Row],[Jaettava € 2]]</f>
        <v>13842053</v>
      </c>
      <c r="AU66" s="17">
        <f>Ohj.lask.[[#This Row],[Jaettava € 3]]+Ohj.lask.[[#This Row],[Jaettava € 4]]+Ohj.lask.[[#This Row],[Jaettava € 5]]</f>
        <v>8004240</v>
      </c>
      <c r="AV66" s="42">
        <f>Ohj.lask.[[#This Row],[Jaettava € 6]]+Ohj.lask.[[#This Row],[Päätös, € 9]]</f>
        <v>69338592</v>
      </c>
      <c r="AW66" s="42">
        <v>0</v>
      </c>
      <c r="AX66" s="23">
        <f>Ohj.lask.[[#This Row],[Perus-, suoritus- ja vaikuttavuusrahoitus yhteensä, €]]+Ohj.lask.[[#This Row],[Alv-korvaus, €]]</f>
        <v>69338592</v>
      </c>
    </row>
    <row r="67" spans="1:50" ht="12.75" x14ac:dyDescent="0.2">
      <c r="A67" s="134" t="s">
        <v>328</v>
      </c>
      <c r="B67" s="14" t="s">
        <v>69</v>
      </c>
      <c r="C67" s="14" t="s">
        <v>312</v>
      </c>
      <c r="D67" s="14" t="s">
        <v>391</v>
      </c>
      <c r="E67" s="14" t="s">
        <v>438</v>
      </c>
      <c r="F67" s="117">
        <v>2108</v>
      </c>
      <c r="G67" s="124">
        <f>Ohj.lask.[[#This Row],[Tavoitteelliset opiskelija-vuodet]]-Ohj.lask.[[#This Row],[Järjestämisluvan opisk.vuosien vähimmäismäärä]]</f>
        <v>158</v>
      </c>
      <c r="H67" s="41">
        <v>2266</v>
      </c>
      <c r="I67" s="15">
        <f>IFERROR(VLOOKUP($A67,'2.1 Toteut. op.vuodet'!$A:$T,COLUMN('2.1 Toteut. op.vuodet'!T:T),FALSE),0)</f>
        <v>1.0492832425233725</v>
      </c>
      <c r="J67" s="81">
        <f t="shared" si="1"/>
        <v>2377.6999999999998</v>
      </c>
      <c r="K67" s="16">
        <f>IFERROR(Ohj.lask.[[#This Row],[Painotetut opiskelija-vuodet]]/Ohj.lask.[[#Totals],[Painotetut opiskelija-vuodet]],0)</f>
        <v>1.1611496147895802E-2</v>
      </c>
      <c r="L67" s="17">
        <f>ROUND(IFERROR('1.1 Jakotaulu'!L$11*Ohj.lask.[[#This Row],[%-osuus 1]],0),0)</f>
        <v>14624343</v>
      </c>
      <c r="M67" s="186">
        <f>IFERROR(ROUND(VLOOKUP($A67,'2.2 Tutk. ja osien pain. pist.'!$A:$Q,COLUMN('2.2 Tutk. ja osien pain. pist.'!P:P),FALSE),1),0)</f>
        <v>181382.39999999999</v>
      </c>
      <c r="N67" s="16">
        <f>IFERROR(Ohj.lask.[[#This Row],[Painotetut pisteet 2]]/Ohj.lask.[[#Totals],[Painotetut pisteet 2]],0)</f>
        <v>1.1644035266182086E-2</v>
      </c>
      <c r="O67" s="23">
        <f>ROUND(IFERROR('1.1 Jakotaulu'!K$12*Ohj.lask.[[#This Row],[%-osuus 2]],0),0)</f>
        <v>4275480</v>
      </c>
      <c r="P67" s="187">
        <f>IFERROR(ROUND(VLOOKUP($A67,'2.3 Työll. ja jatko-opisk.'!$A:$K,COLUMN('2.3 Työll. ja jatko-opisk.'!I:I),FALSE),1),0)</f>
        <v>2537</v>
      </c>
      <c r="Q67" s="16">
        <f>IFERROR(Ohj.lask.[[#This Row],[Painotetut pisteet 3]]/Ohj.lask.[[#Totals],[Painotetut pisteet 3]],0)</f>
        <v>1.2747276820908553E-2</v>
      </c>
      <c r="R67" s="17">
        <f>ROUND(IFERROR('1.1 Jakotaulu'!L$14*Ohj.lask.[[#This Row],[%-osuus 3]],0),0)</f>
        <v>1755214</v>
      </c>
      <c r="S67" s="186">
        <f>IFERROR(ROUND(VLOOKUP($A67,'2.4 Aloittaneet palaute'!$A:$K,COLUMN('2.4 Aloittaneet palaute'!J:J),FALSE),1),0)</f>
        <v>23202.5</v>
      </c>
      <c r="T67" s="20">
        <f>IFERROR(Ohj.lask.[[#This Row],[Painotetut pisteet 4]]/Ohj.lask.[[#Totals],[Painotetut pisteet 4]],0)</f>
        <v>1.4095827325279933E-2</v>
      </c>
      <c r="U67" s="23">
        <f>ROUND(IFERROR('1.1 Jakotaulu'!M$16*Ohj.lask.[[#This Row],[%-osuus 4]],0),0)</f>
        <v>161742</v>
      </c>
      <c r="V67" s="81">
        <f>IFERROR(ROUND(VLOOKUP($A67,'2.5 Päättäneet palaute'!$A:$AC,COLUMN('2.5 Päättäneet palaute'!AB:AB),FALSE),1),0)</f>
        <v>110896</v>
      </c>
      <c r="W67" s="20">
        <f>IFERROR(Ohj.lask.[[#This Row],[Painotetut pisteet 5]]/Ohj.lask.[[#Totals],[Painotetut pisteet 5]],0)</f>
        <v>1.28628414853826E-2</v>
      </c>
      <c r="X67" s="17">
        <f>ROUND(IFERROR('1.1 Jakotaulu'!M$17*Ohj.lask.[[#This Row],[%-osuus 5]],0),0)</f>
        <v>442782</v>
      </c>
      <c r="Y67" s="19">
        <f>IFERROR(Ohj.lask.[[#This Row],[Jaettava € 6]]/Ohj.lask.[[#Totals],[Jaettava € 6]],"")</f>
        <v>1.1744030580575725E-2</v>
      </c>
      <c r="Z67" s="23">
        <f>IFERROR(Ohj.lask.[[#This Row],[Jaettava € 1]]+Ohj.lask.[[#This Row],[Jaettava € 2]]+Ohj.lask.[[#This Row],[Jaettava € 3]]+Ohj.lask.[[#This Row],[Jaettava € 4]]+Ohj.lask.[[#This Row],[Jaettava € 5]],"")</f>
        <v>21259561</v>
      </c>
      <c r="AA67" s="17">
        <v>40000</v>
      </c>
      <c r="AB67" s="17">
        <v>0</v>
      </c>
      <c r="AC67" s="18">
        <v>0</v>
      </c>
      <c r="AD67" s="17">
        <v>0</v>
      </c>
      <c r="AE67" s="18">
        <v>0</v>
      </c>
      <c r="AF67" s="17">
        <v>0</v>
      </c>
      <c r="AG67" s="18">
        <v>84500</v>
      </c>
      <c r="AH67" s="17">
        <v>0</v>
      </c>
      <c r="AI67" s="18">
        <v>0</v>
      </c>
      <c r="AJ67" s="17">
        <v>0</v>
      </c>
      <c r="AK67" s="18">
        <v>0</v>
      </c>
      <c r="AL67" s="17">
        <v>0</v>
      </c>
      <c r="AM67" s="18">
        <v>90000</v>
      </c>
      <c r="AN67" s="23">
        <v>80000</v>
      </c>
      <c r="AO67" s="17">
        <v>0</v>
      </c>
      <c r="AP67" s="17">
        <v>0</v>
      </c>
      <c r="AQ67" s="18">
        <f>IFERROR(VLOOKUP(Ohj.lask.[[#This Row],[Y-tunnus]],#REF!,COLUMN(#REF!),FALSE),0)</f>
        <v>0</v>
      </c>
      <c r="AR67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80000</v>
      </c>
      <c r="AS67" s="17">
        <f>Ohj.lask.[[#This Row],[Jaettava € 1]]+Ohj.lask.[[#This Row],[Päätös, € 9]]</f>
        <v>14704343</v>
      </c>
      <c r="AT67" s="113">
        <f>Ohj.lask.[[#This Row],[Jaettava € 2]]</f>
        <v>4275480</v>
      </c>
      <c r="AU67" s="17">
        <f>Ohj.lask.[[#This Row],[Jaettava € 3]]+Ohj.lask.[[#This Row],[Jaettava € 4]]+Ohj.lask.[[#This Row],[Jaettava € 5]]</f>
        <v>2359738</v>
      </c>
      <c r="AV67" s="42">
        <f>Ohj.lask.[[#This Row],[Jaettava € 6]]+Ohj.lask.[[#This Row],[Päätös, € 9]]</f>
        <v>21339561</v>
      </c>
      <c r="AW67" s="42">
        <v>0</v>
      </c>
      <c r="AX67" s="23">
        <f>Ohj.lask.[[#This Row],[Perus-, suoritus- ja vaikuttavuusrahoitus yhteensä, €]]+Ohj.lask.[[#This Row],[Alv-korvaus, €]]</f>
        <v>21339561</v>
      </c>
    </row>
    <row r="68" spans="1:50" ht="12.75" x14ac:dyDescent="0.2">
      <c r="A68" s="134" t="s">
        <v>327</v>
      </c>
      <c r="B68" s="14" t="s">
        <v>70</v>
      </c>
      <c r="C68" s="14" t="s">
        <v>234</v>
      </c>
      <c r="D68" s="14" t="s">
        <v>392</v>
      </c>
      <c r="E68" s="14" t="s">
        <v>438</v>
      </c>
      <c r="F68" s="117">
        <v>77</v>
      </c>
      <c r="G68" s="124">
        <f>Ohj.lask.[[#This Row],[Tavoitteelliset opiskelija-vuodet]]-Ohj.lask.[[#This Row],[Järjestämisluvan opisk.vuosien vähimmäismäärä]]</f>
        <v>259</v>
      </c>
      <c r="H68" s="41">
        <v>336</v>
      </c>
      <c r="I68" s="15">
        <f>IFERROR(VLOOKUP($A68,'2.1 Toteut. op.vuodet'!$A:$T,COLUMN('2.1 Toteut. op.vuodet'!T:T),FALSE),0)</f>
        <v>0.88759300095853699</v>
      </c>
      <c r="J68" s="81">
        <f t="shared" si="1"/>
        <v>298.2</v>
      </c>
      <c r="K68" s="16">
        <f>IFERROR(Ohj.lask.[[#This Row],[Painotetut opiskelija-vuodet]]/Ohj.lask.[[#Totals],[Painotetut opiskelija-vuodet]],0)</f>
        <v>1.4562594739885304E-3</v>
      </c>
      <c r="L68" s="17">
        <f>ROUND(IFERROR('1.1 Jakotaulu'!L$11*Ohj.lask.[[#This Row],[%-osuus 1]],0),0)</f>
        <v>1834117</v>
      </c>
      <c r="M68" s="186">
        <f>IFERROR(ROUND(VLOOKUP($A68,'2.2 Tutk. ja osien pain. pist.'!$A:$Q,COLUMN('2.2 Tutk. ja osien pain. pist.'!P:P),FALSE),1),0)</f>
        <v>27347.599999999999</v>
      </c>
      <c r="N68" s="16">
        <f>IFERROR(Ohj.lask.[[#This Row],[Painotetut pisteet 2]]/Ohj.lask.[[#Totals],[Painotetut pisteet 2]],0)</f>
        <v>1.7556081452524677E-3</v>
      </c>
      <c r="O68" s="23">
        <f>ROUND(IFERROR('1.1 Jakotaulu'!K$12*Ohj.lask.[[#This Row],[%-osuus 2]],0),0)</f>
        <v>644628</v>
      </c>
      <c r="P68" s="187">
        <f>IFERROR(ROUND(VLOOKUP($A68,'2.3 Työll. ja jatko-opisk.'!$A:$K,COLUMN('2.3 Työll. ja jatko-opisk.'!I:I),FALSE),1),0)</f>
        <v>395.3</v>
      </c>
      <c r="Q68" s="16">
        <f>IFERROR(Ohj.lask.[[#This Row],[Painotetut pisteet 3]]/Ohj.lask.[[#Totals],[Painotetut pisteet 3]],0)</f>
        <v>1.9862035976764489E-3</v>
      </c>
      <c r="R68" s="17">
        <f>ROUND(IFERROR('1.1 Jakotaulu'!L$14*Ohj.lask.[[#This Row],[%-osuus 3]],0),0)</f>
        <v>273487</v>
      </c>
      <c r="S68" s="186">
        <f>IFERROR(ROUND(VLOOKUP($A68,'2.4 Aloittaneet palaute'!$A:$K,COLUMN('2.4 Aloittaneet palaute'!J:J),FALSE),1),0)</f>
        <v>5208</v>
      </c>
      <c r="T68" s="20">
        <f>IFERROR(Ohj.lask.[[#This Row],[Painotetut pisteet 4]]/Ohj.lask.[[#Totals],[Painotetut pisteet 4]],0)</f>
        <v>3.1639292623664643E-3</v>
      </c>
      <c r="U68" s="23">
        <f>ROUND(IFERROR('1.1 Jakotaulu'!M$16*Ohj.lask.[[#This Row],[%-osuus 4]],0),0)</f>
        <v>36304</v>
      </c>
      <c r="V68" s="81">
        <f>IFERROR(ROUND(VLOOKUP($A68,'2.5 Päättäneet palaute'!$A:$AC,COLUMN('2.5 Päättäneet palaute'!AB:AB),FALSE),1),0)</f>
        <v>26661</v>
      </c>
      <c r="W68" s="20">
        <f>IFERROR(Ohj.lask.[[#This Row],[Painotetut pisteet 5]]/Ohj.lask.[[#Totals],[Painotetut pisteet 5]],0)</f>
        <v>3.0924128628786024E-3</v>
      </c>
      <c r="X68" s="17">
        <f>ROUND(IFERROR('1.1 Jakotaulu'!M$17*Ohj.lask.[[#This Row],[%-osuus 5]],0),0)</f>
        <v>106451</v>
      </c>
      <c r="Y68" s="19">
        <f>IFERROR(Ohj.lask.[[#This Row],[Jaettava € 6]]/Ohj.lask.[[#Totals],[Jaettava € 6]],"")</f>
        <v>1.5992247374425643E-3</v>
      </c>
      <c r="Z68" s="23">
        <f>IFERROR(Ohj.lask.[[#This Row],[Jaettava € 1]]+Ohj.lask.[[#This Row],[Jaettava € 2]]+Ohj.lask.[[#This Row],[Jaettava € 3]]+Ohj.lask.[[#This Row],[Jaettava € 4]]+Ohj.lask.[[#This Row],[Jaettava € 5]],"")</f>
        <v>2894987</v>
      </c>
      <c r="AA68" s="17">
        <v>0</v>
      </c>
      <c r="AB68" s="17">
        <v>0</v>
      </c>
      <c r="AC68" s="18">
        <v>0</v>
      </c>
      <c r="AD68" s="17">
        <v>0</v>
      </c>
      <c r="AE68" s="18">
        <v>0</v>
      </c>
      <c r="AF68" s="17">
        <v>0</v>
      </c>
      <c r="AG68" s="18">
        <v>0</v>
      </c>
      <c r="AH68" s="17">
        <v>0</v>
      </c>
      <c r="AI68" s="18">
        <v>0</v>
      </c>
      <c r="AJ68" s="17">
        <v>0</v>
      </c>
      <c r="AK68" s="18">
        <v>0</v>
      </c>
      <c r="AL68" s="17">
        <v>0</v>
      </c>
      <c r="AM68" s="18">
        <v>50000</v>
      </c>
      <c r="AN68" s="23">
        <v>0</v>
      </c>
      <c r="AO68" s="17">
        <v>0</v>
      </c>
      <c r="AP68" s="17">
        <v>0</v>
      </c>
      <c r="AQ68" s="18">
        <f>IFERROR(VLOOKUP(Ohj.lask.[[#This Row],[Y-tunnus]],#REF!,COLUMN(#REF!),FALSE),0)</f>
        <v>0</v>
      </c>
      <c r="AR68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68" s="17">
        <f>Ohj.lask.[[#This Row],[Jaettava € 1]]+Ohj.lask.[[#This Row],[Päätös, € 9]]</f>
        <v>1834117</v>
      </c>
      <c r="AT68" s="113">
        <f>Ohj.lask.[[#This Row],[Jaettava € 2]]</f>
        <v>644628</v>
      </c>
      <c r="AU68" s="17">
        <f>Ohj.lask.[[#This Row],[Jaettava € 3]]+Ohj.lask.[[#This Row],[Jaettava € 4]]+Ohj.lask.[[#This Row],[Jaettava € 5]]</f>
        <v>416242</v>
      </c>
      <c r="AV68" s="42">
        <f>Ohj.lask.[[#This Row],[Jaettava € 6]]+Ohj.lask.[[#This Row],[Päätös, € 9]]</f>
        <v>2894987</v>
      </c>
      <c r="AW68" s="42">
        <v>139678</v>
      </c>
      <c r="AX68" s="23">
        <f>Ohj.lask.[[#This Row],[Perus-, suoritus- ja vaikuttavuusrahoitus yhteensä, €]]+Ohj.lask.[[#This Row],[Alv-korvaus, €]]</f>
        <v>3034665</v>
      </c>
    </row>
    <row r="69" spans="1:50" ht="12.75" x14ac:dyDescent="0.2">
      <c r="A69" s="134" t="s">
        <v>326</v>
      </c>
      <c r="B69" s="14" t="s">
        <v>71</v>
      </c>
      <c r="C69" s="14" t="s">
        <v>234</v>
      </c>
      <c r="D69" s="14" t="s">
        <v>393</v>
      </c>
      <c r="E69" s="14" t="s">
        <v>438</v>
      </c>
      <c r="F69" s="117">
        <v>2256</v>
      </c>
      <c r="G69" s="124">
        <f>Ohj.lask.[[#This Row],[Tavoitteelliset opiskelija-vuodet]]-Ohj.lask.[[#This Row],[Järjestämisluvan opisk.vuosien vähimmäismäärä]]</f>
        <v>260</v>
      </c>
      <c r="H69" s="41">
        <v>2516</v>
      </c>
      <c r="I69" s="15">
        <f>IFERROR(VLOOKUP($A69,'2.1 Toteut. op.vuodet'!$A:$T,COLUMN('2.1 Toteut. op.vuodet'!T:T),FALSE),0)</f>
        <v>0.99161514008522955</v>
      </c>
      <c r="J69" s="81">
        <f t="shared" ref="J69:J99" si="2">IFERROR(ROUND(H69*I69,1),0)</f>
        <v>2494.9</v>
      </c>
      <c r="K69" s="16">
        <f>IFERROR(Ohj.lask.[[#This Row],[Painotetut opiskelija-vuodet]]/Ohj.lask.[[#Totals],[Painotetut opiskelija-vuodet]],0)</f>
        <v>1.2183842259067688E-2</v>
      </c>
      <c r="L69" s="17">
        <f>ROUND(IFERROR('1.1 Jakotaulu'!L$11*Ohj.lask.[[#This Row],[%-osuus 1]],0),0)</f>
        <v>15345196</v>
      </c>
      <c r="M69" s="186">
        <f>IFERROR(ROUND(VLOOKUP($A69,'2.2 Tutk. ja osien pain. pist.'!$A:$Q,COLUMN('2.2 Tutk. ja osien pain. pist.'!P:P),FALSE),1),0)</f>
        <v>189258</v>
      </c>
      <c r="N69" s="16">
        <f>IFERROR(Ohj.lask.[[#This Row],[Painotetut pisteet 2]]/Ohj.lask.[[#Totals],[Painotetut pisteet 2]],0)</f>
        <v>1.2149617749059939E-2</v>
      </c>
      <c r="O69" s="23">
        <f>ROUND(IFERROR('1.1 Jakotaulu'!K$12*Ohj.lask.[[#This Row],[%-osuus 2]],0),0)</f>
        <v>4461121</v>
      </c>
      <c r="P69" s="187">
        <f>IFERROR(ROUND(VLOOKUP($A69,'2.3 Työll. ja jatko-opisk.'!$A:$K,COLUMN('2.3 Työll. ja jatko-opisk.'!I:I),FALSE),1),0)</f>
        <v>2683.1</v>
      </c>
      <c r="Q69" s="16">
        <f>IFERROR(Ohj.lask.[[#This Row],[Painotetut pisteet 3]]/Ohj.lask.[[#Totals],[Painotetut pisteet 3]],0)</f>
        <v>1.3481363199913179E-2</v>
      </c>
      <c r="R69" s="17">
        <f>ROUND(IFERROR('1.1 Jakotaulu'!L$14*Ohj.lask.[[#This Row],[%-osuus 3]],0),0)</f>
        <v>1856293</v>
      </c>
      <c r="S69" s="186">
        <f>IFERROR(ROUND(VLOOKUP($A69,'2.4 Aloittaneet palaute'!$A:$K,COLUMN('2.4 Aloittaneet palaute'!J:J),FALSE),1),0)</f>
        <v>17095.7</v>
      </c>
      <c r="T69" s="20">
        <f>IFERROR(Ohj.lask.[[#This Row],[Painotetut pisteet 4]]/Ohj.lask.[[#Totals],[Painotetut pisteet 4]],0)</f>
        <v>1.0385865109569578E-2</v>
      </c>
      <c r="U69" s="23">
        <f>ROUND(IFERROR('1.1 Jakotaulu'!M$16*Ohj.lask.[[#This Row],[%-osuus 4]],0),0)</f>
        <v>119172</v>
      </c>
      <c r="V69" s="81">
        <f>IFERROR(ROUND(VLOOKUP($A69,'2.5 Päättäneet palaute'!$A:$AC,COLUMN('2.5 Päättäneet palaute'!AB:AB),FALSE),1),0)</f>
        <v>100546.5</v>
      </c>
      <c r="W69" s="20">
        <f>IFERROR(Ohj.lask.[[#This Row],[Painotetut pisteet 5]]/Ohj.lask.[[#Totals],[Painotetut pisteet 5]],0)</f>
        <v>1.1662401632250231E-2</v>
      </c>
      <c r="X69" s="17">
        <f>ROUND(IFERROR('1.1 Jakotaulu'!M$17*Ohj.lask.[[#This Row],[%-osuus 5]],0),0)</f>
        <v>401459</v>
      </c>
      <c r="Y69" s="19">
        <f>IFERROR(Ohj.lask.[[#This Row],[Jaettava € 6]]/Ohj.lask.[[#Totals],[Jaettava € 6]],"")</f>
        <v>1.225428223472165E-2</v>
      </c>
      <c r="Z69" s="23">
        <f>IFERROR(Ohj.lask.[[#This Row],[Jaettava € 1]]+Ohj.lask.[[#This Row],[Jaettava € 2]]+Ohj.lask.[[#This Row],[Jaettava € 3]]+Ohj.lask.[[#This Row],[Jaettava € 4]]+Ohj.lask.[[#This Row],[Jaettava € 5]],"")</f>
        <v>22183241</v>
      </c>
      <c r="AA69" s="17">
        <v>300000</v>
      </c>
      <c r="AB69" s="17">
        <v>0</v>
      </c>
      <c r="AC69" s="18">
        <v>0</v>
      </c>
      <c r="AD69" s="17">
        <v>0</v>
      </c>
      <c r="AE69" s="18">
        <v>0</v>
      </c>
      <c r="AF69" s="17">
        <v>0</v>
      </c>
      <c r="AG69" s="18">
        <v>10000</v>
      </c>
      <c r="AH69" s="17">
        <v>0</v>
      </c>
      <c r="AI69" s="18">
        <v>0</v>
      </c>
      <c r="AJ69" s="17">
        <v>120000</v>
      </c>
      <c r="AK69" s="18">
        <v>0</v>
      </c>
      <c r="AL69" s="17">
        <v>0</v>
      </c>
      <c r="AM69" s="18">
        <v>0</v>
      </c>
      <c r="AN69" s="23">
        <v>0</v>
      </c>
      <c r="AO69" s="17">
        <v>0</v>
      </c>
      <c r="AP69" s="17">
        <v>0</v>
      </c>
      <c r="AQ69" s="18">
        <f>IFERROR(VLOOKUP(Ohj.lask.[[#This Row],[Y-tunnus]],#REF!,COLUMN(#REF!),FALSE),0)</f>
        <v>0</v>
      </c>
      <c r="AR69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120000</v>
      </c>
      <c r="AS69" s="17">
        <f>Ohj.lask.[[#This Row],[Jaettava € 1]]+Ohj.lask.[[#This Row],[Päätös, € 9]]</f>
        <v>15465196</v>
      </c>
      <c r="AT69" s="113">
        <f>Ohj.lask.[[#This Row],[Jaettava € 2]]</f>
        <v>4461121</v>
      </c>
      <c r="AU69" s="17">
        <f>Ohj.lask.[[#This Row],[Jaettava € 3]]+Ohj.lask.[[#This Row],[Jaettava € 4]]+Ohj.lask.[[#This Row],[Jaettava € 5]]</f>
        <v>2376924</v>
      </c>
      <c r="AV69" s="42">
        <f>Ohj.lask.[[#This Row],[Jaettava € 6]]+Ohj.lask.[[#This Row],[Päätös, € 9]]</f>
        <v>22303241</v>
      </c>
      <c r="AW69" s="42">
        <v>0</v>
      </c>
      <c r="AX69" s="23">
        <f>Ohj.lask.[[#This Row],[Perus-, suoritus- ja vaikuttavuusrahoitus yhteensä, €]]+Ohj.lask.[[#This Row],[Alv-korvaus, €]]</f>
        <v>22303241</v>
      </c>
    </row>
    <row r="70" spans="1:50" ht="12.75" x14ac:dyDescent="0.2">
      <c r="A70" s="134" t="s">
        <v>322</v>
      </c>
      <c r="B70" s="14" t="s">
        <v>72</v>
      </c>
      <c r="C70" s="14" t="s">
        <v>224</v>
      </c>
      <c r="D70" s="14" t="s">
        <v>392</v>
      </c>
      <c r="E70" s="14" t="s">
        <v>438</v>
      </c>
      <c r="F70" s="117">
        <v>82</v>
      </c>
      <c r="G70" s="124">
        <f>Ohj.lask.[[#This Row],[Tavoitteelliset opiskelija-vuodet]]-Ohj.lask.[[#This Row],[Järjestämisluvan opisk.vuosien vähimmäismäärä]]</f>
        <v>10</v>
      </c>
      <c r="H70" s="41">
        <v>92</v>
      </c>
      <c r="I70" s="15">
        <f>IFERROR(VLOOKUP($A70,'2.1 Toteut. op.vuodet'!$A:$T,COLUMN('2.1 Toteut. op.vuodet'!T:T),FALSE),0)</f>
        <v>0.64640736458082271</v>
      </c>
      <c r="J70" s="81">
        <f t="shared" si="2"/>
        <v>59.5</v>
      </c>
      <c r="K70" s="16">
        <f>IFERROR(Ohj.lask.[[#This Row],[Painotetut opiskelija-vuodet]]/Ohj.lask.[[#Totals],[Painotetut opiskelija-vuodet]],0)</f>
        <v>2.9056820490381473E-4</v>
      </c>
      <c r="L70" s="17">
        <f>ROUND(IFERROR('1.1 Jakotaulu'!L$11*Ohj.lask.[[#This Row],[%-osuus 1]],0),0)</f>
        <v>365962</v>
      </c>
      <c r="M70" s="186">
        <f>IFERROR(ROUND(VLOOKUP($A70,'2.2 Tutk. ja osien pain. pist.'!$A:$Q,COLUMN('2.2 Tutk. ja osien pain. pist.'!P:P),FALSE),1),0)</f>
        <v>5253</v>
      </c>
      <c r="N70" s="16">
        <f>IFERROR(Ohj.lask.[[#This Row],[Painotetut pisteet 2]]/Ohj.lask.[[#Totals],[Painotetut pisteet 2]],0)</f>
        <v>3.3722189833883828E-4</v>
      </c>
      <c r="O70" s="23">
        <f>ROUND(IFERROR('1.1 Jakotaulu'!K$12*Ohj.lask.[[#This Row],[%-osuus 2]],0),0)</f>
        <v>123822</v>
      </c>
      <c r="P70" s="187">
        <f>IFERROR(ROUND(VLOOKUP($A70,'2.3 Työll. ja jatko-opisk.'!$A:$K,COLUMN('2.3 Työll. ja jatko-opisk.'!I:I),FALSE),1),0)</f>
        <v>111.3</v>
      </c>
      <c r="Q70" s="16">
        <f>IFERROR(Ohj.lask.[[#This Row],[Painotetut pisteet 3]]/Ohj.lask.[[#Totals],[Painotetut pisteet 3]],0)</f>
        <v>5.5923212856410012E-4</v>
      </c>
      <c r="R70" s="17">
        <f>ROUND(IFERROR('1.1 Jakotaulu'!L$14*Ohj.lask.[[#This Row],[%-osuus 3]],0),0)</f>
        <v>77002</v>
      </c>
      <c r="S70" s="186">
        <f>IFERROR(ROUND(VLOOKUP($A70,'2.4 Aloittaneet palaute'!$A:$K,COLUMN('2.4 Aloittaneet palaute'!J:J),FALSE),1),0)</f>
        <v>2099.1999999999998</v>
      </c>
      <c r="T70" s="20">
        <f>IFERROR(Ohj.lask.[[#This Row],[Painotetut pisteet 4]]/Ohj.lask.[[#Totals],[Painotetut pisteet 4]],0)</f>
        <v>1.2752919177341938E-3</v>
      </c>
      <c r="U70" s="23">
        <f>ROUND(IFERROR('1.1 Jakotaulu'!M$16*Ohj.lask.[[#This Row],[%-osuus 4]],0),0)</f>
        <v>14633</v>
      </c>
      <c r="V70" s="81">
        <f>IFERROR(ROUND(VLOOKUP($A70,'2.5 Päättäneet palaute'!$A:$AC,COLUMN('2.5 Päättäneet palaute'!AB:AB),FALSE),1),0)</f>
        <v>5611.8</v>
      </c>
      <c r="W70" s="20">
        <f>IFERROR(Ohj.lask.[[#This Row],[Painotetut pisteet 5]]/Ohj.lask.[[#Totals],[Painotetut pisteet 5]],0)</f>
        <v>6.5091341299659215E-4</v>
      </c>
      <c r="X70" s="17">
        <f>ROUND(IFERROR('1.1 Jakotaulu'!M$17*Ohj.lask.[[#This Row],[%-osuus 5]],0),0)</f>
        <v>22407</v>
      </c>
      <c r="Y70" s="19">
        <f>IFERROR(Ohj.lask.[[#This Row],[Jaettava € 6]]/Ohj.lask.[[#Totals],[Jaettava € 6]],"")</f>
        <v>3.3356055702875136E-4</v>
      </c>
      <c r="Z70" s="23">
        <f>IFERROR(Ohj.lask.[[#This Row],[Jaettava € 1]]+Ohj.lask.[[#This Row],[Jaettava € 2]]+Ohj.lask.[[#This Row],[Jaettava € 3]]+Ohj.lask.[[#This Row],[Jaettava € 4]]+Ohj.lask.[[#This Row],[Jaettava € 5]],"")</f>
        <v>603826</v>
      </c>
      <c r="AA70" s="17">
        <v>0</v>
      </c>
      <c r="AB70" s="17">
        <v>0</v>
      </c>
      <c r="AC70" s="18">
        <v>0</v>
      </c>
      <c r="AD70" s="17">
        <v>0</v>
      </c>
      <c r="AE70" s="18">
        <v>0</v>
      </c>
      <c r="AF70" s="17">
        <v>0</v>
      </c>
      <c r="AG70" s="18">
        <v>0</v>
      </c>
      <c r="AH70" s="17">
        <v>0</v>
      </c>
      <c r="AI70" s="18">
        <v>0</v>
      </c>
      <c r="AJ70" s="17">
        <v>0</v>
      </c>
      <c r="AK70" s="18">
        <v>0</v>
      </c>
      <c r="AL70" s="17">
        <v>0</v>
      </c>
      <c r="AM70" s="18">
        <v>0</v>
      </c>
      <c r="AN70" s="23">
        <v>0</v>
      </c>
      <c r="AO70" s="17">
        <v>0</v>
      </c>
      <c r="AP70" s="17">
        <v>0</v>
      </c>
      <c r="AQ70" s="18">
        <f>IFERROR(VLOOKUP(Ohj.lask.[[#This Row],[Y-tunnus]],#REF!,COLUMN(#REF!),FALSE),0)</f>
        <v>0</v>
      </c>
      <c r="AR70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70" s="17">
        <f>Ohj.lask.[[#This Row],[Jaettava € 1]]+Ohj.lask.[[#This Row],[Päätös, € 9]]</f>
        <v>365962</v>
      </c>
      <c r="AT70" s="113">
        <f>Ohj.lask.[[#This Row],[Jaettava € 2]]</f>
        <v>123822</v>
      </c>
      <c r="AU70" s="17">
        <f>Ohj.lask.[[#This Row],[Jaettava € 3]]+Ohj.lask.[[#This Row],[Jaettava € 4]]+Ohj.lask.[[#This Row],[Jaettava € 5]]</f>
        <v>114042</v>
      </c>
      <c r="AV70" s="42">
        <f>Ohj.lask.[[#This Row],[Jaettava € 6]]+Ohj.lask.[[#This Row],[Päätös, € 9]]</f>
        <v>603826</v>
      </c>
      <c r="AW70" s="42">
        <v>44655</v>
      </c>
      <c r="AX70" s="23">
        <f>Ohj.lask.[[#This Row],[Perus-, suoritus- ja vaikuttavuusrahoitus yhteensä, €]]+Ohj.lask.[[#This Row],[Alv-korvaus, €]]</f>
        <v>648481</v>
      </c>
    </row>
    <row r="71" spans="1:50" ht="12.75" x14ac:dyDescent="0.2">
      <c r="A71" s="134" t="s">
        <v>321</v>
      </c>
      <c r="B71" s="14" t="s">
        <v>73</v>
      </c>
      <c r="C71" s="14" t="s">
        <v>220</v>
      </c>
      <c r="D71" s="14" t="s">
        <v>392</v>
      </c>
      <c r="E71" s="14" t="s">
        <v>438</v>
      </c>
      <c r="F71" s="117">
        <v>48</v>
      </c>
      <c r="G71" s="124">
        <f>Ohj.lask.[[#This Row],[Tavoitteelliset opiskelija-vuodet]]-Ohj.lask.[[#This Row],[Järjestämisluvan opisk.vuosien vähimmäismäärä]]</f>
        <v>4</v>
      </c>
      <c r="H71" s="41">
        <v>52</v>
      </c>
      <c r="I71" s="15">
        <f>IFERROR(VLOOKUP($A71,'2.1 Toteut. op.vuodet'!$A:$T,COLUMN('2.1 Toteut. op.vuodet'!T:T),FALSE),0)</f>
        <v>1.5907742601514094</v>
      </c>
      <c r="J71" s="81">
        <f t="shared" si="2"/>
        <v>82.7</v>
      </c>
      <c r="K71" s="16">
        <f>IFERROR(Ohj.lask.[[#This Row],[Painotetut opiskelija-vuodet]]/Ohj.lask.[[#Totals],[Painotetut opiskelija-vuodet]],0)</f>
        <v>4.0386538732009212E-4</v>
      </c>
      <c r="L71" s="17">
        <f>ROUND(IFERROR('1.1 Jakotaulu'!L$11*Ohj.lask.[[#This Row],[%-osuus 1]],0),0)</f>
        <v>508657</v>
      </c>
      <c r="M71" s="186">
        <f>IFERROR(ROUND(VLOOKUP($A71,'2.2 Tutk. ja osien pain. pist.'!$A:$Q,COLUMN('2.2 Tutk. ja osien pain. pist.'!P:P),FALSE),1),0)</f>
        <v>7385</v>
      </c>
      <c r="N71" s="16">
        <f>IFERROR(Ohj.lask.[[#This Row],[Painotetut pisteet 2]]/Ohj.lask.[[#Totals],[Painotetut pisteet 2]],0)</f>
        <v>4.7408789629398834E-4</v>
      </c>
      <c r="O71" s="23">
        <f>ROUND(IFERROR('1.1 Jakotaulu'!K$12*Ohj.lask.[[#This Row],[%-osuus 2]],0),0)</f>
        <v>174077</v>
      </c>
      <c r="P71" s="187">
        <f>IFERROR(ROUND(VLOOKUP($A71,'2.3 Työll. ja jatko-opisk.'!$A:$K,COLUMN('2.3 Työll. ja jatko-opisk.'!I:I),FALSE),1),0)</f>
        <v>51.7</v>
      </c>
      <c r="Q71" s="16">
        <f>IFERROR(Ohj.lask.[[#This Row],[Painotetut pisteet 3]]/Ohj.lask.[[#Totals],[Painotetut pisteet 3]],0)</f>
        <v>2.5976910194756495E-4</v>
      </c>
      <c r="R71" s="17">
        <f>ROUND(IFERROR('1.1 Jakotaulu'!L$14*Ohj.lask.[[#This Row],[%-osuus 3]],0),0)</f>
        <v>35768</v>
      </c>
      <c r="S71" s="186">
        <f>IFERROR(ROUND(VLOOKUP($A71,'2.4 Aloittaneet palaute'!$A:$K,COLUMN('2.4 Aloittaneet palaute'!J:J),FALSE),1),0)</f>
        <v>311.8</v>
      </c>
      <c r="T71" s="20">
        <f>IFERROR(Ohj.lask.[[#This Row],[Painotetut pisteet 4]]/Ohj.lask.[[#Totals],[Painotetut pisteet 4]],0)</f>
        <v>1.8942264669851453E-4</v>
      </c>
      <c r="U71" s="23">
        <f>ROUND(IFERROR('1.1 Jakotaulu'!M$16*Ohj.lask.[[#This Row],[%-osuus 4]],0),0)</f>
        <v>2174</v>
      </c>
      <c r="V71" s="81">
        <f>IFERROR(ROUND(VLOOKUP($A71,'2.5 Päättäneet palaute'!$A:$AC,COLUMN('2.5 Päättäneet palaute'!AB:AB),FALSE),1),0)</f>
        <v>426.1</v>
      </c>
      <c r="W71" s="20">
        <f>IFERROR(Ohj.lask.[[#This Row],[Painotetut pisteet 5]]/Ohj.lask.[[#Totals],[Painotetut pisteet 5]],0)</f>
        <v>4.9423394504053581E-5</v>
      </c>
      <c r="X71" s="17">
        <f>ROUND(IFERROR('1.1 Jakotaulu'!M$17*Ohj.lask.[[#This Row],[%-osuus 5]],0),0)</f>
        <v>1701</v>
      </c>
      <c r="Y71" s="19">
        <f>IFERROR(Ohj.lask.[[#This Row],[Jaettava € 6]]/Ohj.lask.[[#Totals],[Jaettava € 6]],"")</f>
        <v>3.9904951841218884E-4</v>
      </c>
      <c r="Z71" s="23">
        <f>IFERROR(Ohj.lask.[[#This Row],[Jaettava € 1]]+Ohj.lask.[[#This Row],[Jaettava € 2]]+Ohj.lask.[[#This Row],[Jaettava € 3]]+Ohj.lask.[[#This Row],[Jaettava € 4]]+Ohj.lask.[[#This Row],[Jaettava € 5]],"")</f>
        <v>722377</v>
      </c>
      <c r="AA71" s="17">
        <v>0</v>
      </c>
      <c r="AB71" s="17">
        <v>0</v>
      </c>
      <c r="AC71" s="18">
        <v>50000</v>
      </c>
      <c r="AD71" s="17">
        <v>0</v>
      </c>
      <c r="AE71" s="18">
        <v>55000</v>
      </c>
      <c r="AF71" s="17">
        <v>0</v>
      </c>
      <c r="AG71" s="18">
        <v>0</v>
      </c>
      <c r="AH71" s="17">
        <v>0</v>
      </c>
      <c r="AI71" s="18">
        <v>20000</v>
      </c>
      <c r="AJ71" s="17">
        <v>0</v>
      </c>
      <c r="AK71" s="18">
        <v>45000</v>
      </c>
      <c r="AL71" s="17">
        <v>0</v>
      </c>
      <c r="AM71" s="18">
        <v>10000</v>
      </c>
      <c r="AN71" s="23">
        <v>10000</v>
      </c>
      <c r="AO71" s="17">
        <v>0</v>
      </c>
      <c r="AP71" s="17">
        <v>0</v>
      </c>
      <c r="AQ71" s="18">
        <f>IFERROR(VLOOKUP(Ohj.lask.[[#This Row],[Y-tunnus]],#REF!,COLUMN(#REF!),FALSE),0)</f>
        <v>0</v>
      </c>
      <c r="AR71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10000</v>
      </c>
      <c r="AS71" s="17">
        <f>Ohj.lask.[[#This Row],[Jaettava € 1]]+Ohj.lask.[[#This Row],[Päätös, € 9]]</f>
        <v>518657</v>
      </c>
      <c r="AT71" s="113">
        <f>Ohj.lask.[[#This Row],[Jaettava € 2]]</f>
        <v>174077</v>
      </c>
      <c r="AU71" s="17">
        <f>Ohj.lask.[[#This Row],[Jaettava € 3]]+Ohj.lask.[[#This Row],[Jaettava € 4]]+Ohj.lask.[[#This Row],[Jaettava € 5]]</f>
        <v>39643</v>
      </c>
      <c r="AV71" s="42">
        <f>Ohj.lask.[[#This Row],[Jaettava € 6]]+Ohj.lask.[[#This Row],[Päätös, € 9]]</f>
        <v>732377</v>
      </c>
      <c r="AW71" s="42">
        <v>10948</v>
      </c>
      <c r="AX71" s="23">
        <f>Ohj.lask.[[#This Row],[Perus-, suoritus- ja vaikuttavuusrahoitus yhteensä, €]]+Ohj.lask.[[#This Row],[Alv-korvaus, €]]</f>
        <v>743325</v>
      </c>
    </row>
    <row r="72" spans="1:50" ht="12.75" x14ac:dyDescent="0.2">
      <c r="A72" s="134" t="s">
        <v>320</v>
      </c>
      <c r="B72" s="14" t="s">
        <v>74</v>
      </c>
      <c r="C72" s="14" t="s">
        <v>220</v>
      </c>
      <c r="D72" s="14" t="s">
        <v>392</v>
      </c>
      <c r="E72" s="14" t="s">
        <v>438</v>
      </c>
      <c r="F72" s="117">
        <v>83</v>
      </c>
      <c r="G72" s="124">
        <f>Ohj.lask.[[#This Row],[Tavoitteelliset opiskelija-vuodet]]-Ohj.lask.[[#This Row],[Järjestämisluvan opisk.vuosien vähimmäismäärä]]</f>
        <v>7</v>
      </c>
      <c r="H72" s="41">
        <v>90</v>
      </c>
      <c r="I72" s="15">
        <f>IFERROR(VLOOKUP($A72,'2.1 Toteut. op.vuodet'!$A:$T,COLUMN('2.1 Toteut. op.vuodet'!T:T),FALSE),0)</f>
        <v>1.111377718426658</v>
      </c>
      <c r="J72" s="81">
        <f t="shared" si="2"/>
        <v>100</v>
      </c>
      <c r="K72" s="16">
        <f>IFERROR(Ohj.lask.[[#This Row],[Painotetut opiskelija-vuodet]]/Ohj.lask.[[#Totals],[Painotetut opiskelija-vuodet]],0)</f>
        <v>4.8834992420809201E-4</v>
      </c>
      <c r="L72" s="17">
        <f>ROUND(IFERROR('1.1 Jakotaulu'!L$11*Ohj.lask.[[#This Row],[%-osuus 1]],0),0)</f>
        <v>615063</v>
      </c>
      <c r="M72" s="186">
        <f>IFERROR(ROUND(VLOOKUP($A72,'2.2 Tutk. ja osien pain. pist.'!$A:$Q,COLUMN('2.2 Tutk. ja osien pain. pist.'!P:P),FALSE),1),0)</f>
        <v>7864</v>
      </c>
      <c r="N72" s="16">
        <f>IFERROR(Ohj.lask.[[#This Row],[Painotetut pisteet 2]]/Ohj.lask.[[#Totals],[Painotetut pisteet 2]],0)</f>
        <v>5.0483780859254216E-4</v>
      </c>
      <c r="O72" s="23">
        <f>ROUND(IFERROR('1.1 Jakotaulu'!K$12*Ohj.lask.[[#This Row],[%-osuus 2]],0),0)</f>
        <v>185367</v>
      </c>
      <c r="P72" s="187">
        <f>IFERROR(ROUND(VLOOKUP($A72,'2.3 Työll. ja jatko-opisk.'!$A:$K,COLUMN('2.3 Työll. ja jatko-opisk.'!I:I),FALSE),1),0)</f>
        <v>94.6</v>
      </c>
      <c r="Q72" s="16">
        <f>IFERROR(Ohj.lask.[[#This Row],[Painotetut pisteet 3]]/Ohj.lask.[[#Totals],[Painotetut pisteet 3]],0)</f>
        <v>4.7532218654235277E-4</v>
      </c>
      <c r="R72" s="17">
        <f>ROUND(IFERROR('1.1 Jakotaulu'!L$14*Ohj.lask.[[#This Row],[%-osuus 3]],0),0)</f>
        <v>65449</v>
      </c>
      <c r="S72" s="186">
        <f>IFERROR(ROUND(VLOOKUP($A72,'2.4 Aloittaneet palaute'!$A:$K,COLUMN('2.4 Aloittaneet palaute'!J:J),FALSE),1),0)</f>
        <v>1005.4</v>
      </c>
      <c r="T72" s="20">
        <f>IFERROR(Ohj.lask.[[#This Row],[Painotetut pisteet 4]]/Ohj.lask.[[#Totals],[Painotetut pisteet 4]],0)</f>
        <v>6.1079387104132933E-4</v>
      </c>
      <c r="U72" s="23">
        <f>ROUND(IFERROR('1.1 Jakotaulu'!M$16*Ohj.lask.[[#This Row],[%-osuus 4]],0),0)</f>
        <v>7009</v>
      </c>
      <c r="V72" s="81">
        <f>IFERROR(ROUND(VLOOKUP($A72,'2.5 Päättäneet palaute'!$A:$AC,COLUMN('2.5 Päättäneet palaute'!AB:AB),FALSE),1),0)</f>
        <v>4308.7</v>
      </c>
      <c r="W72" s="20">
        <f>IFERROR(Ohj.lask.[[#This Row],[Painotetut pisteet 5]]/Ohj.lask.[[#Totals],[Painotetut pisteet 5]],0)</f>
        <v>4.9976667425396777E-4</v>
      </c>
      <c r="X72" s="17">
        <f>ROUND(IFERROR('1.1 Jakotaulu'!M$17*Ohj.lask.[[#This Row],[%-osuus 5]],0),0)</f>
        <v>17204</v>
      </c>
      <c r="Y72" s="19">
        <f>IFERROR(Ohj.lask.[[#This Row],[Jaettava € 6]]/Ohj.lask.[[#Totals],[Jaettava € 6]],"")</f>
        <v>4.9169724941760596E-4</v>
      </c>
      <c r="Z72" s="23">
        <f>IFERROR(Ohj.lask.[[#This Row],[Jaettava € 1]]+Ohj.lask.[[#This Row],[Jaettava € 2]]+Ohj.lask.[[#This Row],[Jaettava € 3]]+Ohj.lask.[[#This Row],[Jaettava € 4]]+Ohj.lask.[[#This Row],[Jaettava € 5]],"")</f>
        <v>890092</v>
      </c>
      <c r="AA72" s="17">
        <v>0</v>
      </c>
      <c r="AB72" s="17">
        <v>0</v>
      </c>
      <c r="AC72" s="18">
        <v>0</v>
      </c>
      <c r="AD72" s="17">
        <v>0</v>
      </c>
      <c r="AE72" s="18">
        <v>0</v>
      </c>
      <c r="AF72" s="17">
        <v>0</v>
      </c>
      <c r="AG72" s="18">
        <v>0</v>
      </c>
      <c r="AH72" s="17">
        <v>0</v>
      </c>
      <c r="AI72" s="18">
        <v>0</v>
      </c>
      <c r="AJ72" s="17">
        <v>0</v>
      </c>
      <c r="AK72" s="18">
        <v>0</v>
      </c>
      <c r="AL72" s="17">
        <v>0</v>
      </c>
      <c r="AM72" s="18">
        <v>0</v>
      </c>
      <c r="AN72" s="23">
        <v>0</v>
      </c>
      <c r="AO72" s="17">
        <v>0</v>
      </c>
      <c r="AP72" s="17">
        <v>0</v>
      </c>
      <c r="AQ72" s="18">
        <f>IFERROR(VLOOKUP(Ohj.lask.[[#This Row],[Y-tunnus]],#REF!,COLUMN(#REF!),FALSE),0)</f>
        <v>0</v>
      </c>
      <c r="AR72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72" s="17">
        <f>Ohj.lask.[[#This Row],[Jaettava € 1]]+Ohj.lask.[[#This Row],[Päätös, € 9]]</f>
        <v>615063</v>
      </c>
      <c r="AT72" s="113">
        <f>Ohj.lask.[[#This Row],[Jaettava € 2]]</f>
        <v>185367</v>
      </c>
      <c r="AU72" s="17">
        <f>Ohj.lask.[[#This Row],[Jaettava € 3]]+Ohj.lask.[[#This Row],[Jaettava € 4]]+Ohj.lask.[[#This Row],[Jaettava € 5]]</f>
        <v>89662</v>
      </c>
      <c r="AV72" s="42">
        <f>Ohj.lask.[[#This Row],[Jaettava € 6]]+Ohj.lask.[[#This Row],[Päätös, € 9]]</f>
        <v>890092</v>
      </c>
      <c r="AW72" s="42">
        <v>56266</v>
      </c>
      <c r="AX72" s="23">
        <f>Ohj.lask.[[#This Row],[Perus-, suoritus- ja vaikuttavuusrahoitus yhteensä, €]]+Ohj.lask.[[#This Row],[Alv-korvaus, €]]</f>
        <v>946358</v>
      </c>
    </row>
    <row r="73" spans="1:50" ht="12.75" x14ac:dyDescent="0.2">
      <c r="A73" s="134" t="s">
        <v>319</v>
      </c>
      <c r="B73" s="14" t="s">
        <v>75</v>
      </c>
      <c r="C73" s="14" t="s">
        <v>249</v>
      </c>
      <c r="D73" s="14" t="s">
        <v>392</v>
      </c>
      <c r="E73" s="14" t="s">
        <v>438</v>
      </c>
      <c r="F73" s="117">
        <v>139</v>
      </c>
      <c r="G73" s="124">
        <f>Ohj.lask.[[#This Row],[Tavoitteelliset opiskelija-vuodet]]-Ohj.lask.[[#This Row],[Järjestämisluvan opisk.vuosien vähimmäismäärä]]</f>
        <v>35</v>
      </c>
      <c r="H73" s="41">
        <v>174</v>
      </c>
      <c r="I73" s="15">
        <f>IFERROR(VLOOKUP($A73,'2.1 Toteut. op.vuodet'!$A:$T,COLUMN('2.1 Toteut. op.vuodet'!T:T),FALSE),0)</f>
        <v>1.4002090528648168</v>
      </c>
      <c r="J73" s="81">
        <f t="shared" si="2"/>
        <v>243.6</v>
      </c>
      <c r="K73" s="16">
        <f>IFERROR(Ohj.lask.[[#This Row],[Painotetut opiskelija-vuodet]]/Ohj.lask.[[#Totals],[Painotetut opiskelija-vuodet]],0)</f>
        <v>1.1896204153709121E-3</v>
      </c>
      <c r="L73" s="17">
        <f>ROUND(IFERROR('1.1 Jakotaulu'!L$11*Ohj.lask.[[#This Row],[%-osuus 1]],0),0)</f>
        <v>1498292</v>
      </c>
      <c r="M73" s="186">
        <f>IFERROR(ROUND(VLOOKUP($A73,'2.2 Tutk. ja osien pain. pist.'!$A:$Q,COLUMN('2.2 Tutk. ja osien pain. pist.'!P:P),FALSE),1),0)</f>
        <v>15220.1</v>
      </c>
      <c r="N73" s="16">
        <f>IFERROR(Ohj.lask.[[#This Row],[Painotetut pisteet 2]]/Ohj.lask.[[#Totals],[Painotetut pisteet 2]],0)</f>
        <v>9.7707043877916472E-4</v>
      </c>
      <c r="O73" s="23">
        <f>ROUND(IFERROR('1.1 Jakotaulu'!K$12*Ohj.lask.[[#This Row],[%-osuus 2]],0),0)</f>
        <v>358763</v>
      </c>
      <c r="P73" s="187">
        <f>IFERROR(ROUND(VLOOKUP($A73,'2.3 Työll. ja jatko-opisk.'!$A:$K,COLUMN('2.3 Työll. ja jatko-opisk.'!I:I),FALSE),1),0)</f>
        <v>246.1</v>
      </c>
      <c r="Q73" s="16">
        <f>IFERROR(Ohj.lask.[[#This Row],[Painotetut pisteet 3]]/Ohj.lask.[[#Totals],[Painotetut pisteet 3]],0)</f>
        <v>1.2365411216498205E-3</v>
      </c>
      <c r="R73" s="17">
        <f>ROUND(IFERROR('1.1 Jakotaulu'!L$14*Ohj.lask.[[#This Row],[%-osuus 3]],0),0)</f>
        <v>170263</v>
      </c>
      <c r="S73" s="186">
        <f>IFERROR(ROUND(VLOOKUP($A73,'2.4 Aloittaneet palaute'!$A:$K,COLUMN('2.4 Aloittaneet palaute'!J:J),FALSE),1),0)</f>
        <v>2349.4</v>
      </c>
      <c r="T73" s="20">
        <f>IFERROR(Ohj.lask.[[#This Row],[Painotetut pisteet 4]]/Ohj.lask.[[#Totals],[Painotetut pisteet 4]],0)</f>
        <v>1.427291745200417E-3</v>
      </c>
      <c r="U73" s="23">
        <f>ROUND(IFERROR('1.1 Jakotaulu'!M$16*Ohj.lask.[[#This Row],[%-osuus 4]],0),0)</f>
        <v>16377</v>
      </c>
      <c r="V73" s="81">
        <f>IFERROR(ROUND(VLOOKUP($A73,'2.5 Päättäneet palaute'!$A:$AC,COLUMN('2.5 Päättäneet palaute'!AB:AB),FALSE),1),0)</f>
        <v>14023.3</v>
      </c>
      <c r="W73" s="20">
        <f>IFERROR(Ohj.lask.[[#This Row],[Painotetut pisteet 5]]/Ohj.lask.[[#Totals],[Painotetut pisteet 5]],0)</f>
        <v>1.6265643936838642E-3</v>
      </c>
      <c r="X73" s="17">
        <f>ROUND(IFERROR('1.1 Jakotaulu'!M$17*Ohj.lask.[[#This Row],[%-osuus 5]],0),0)</f>
        <v>55992</v>
      </c>
      <c r="Y73" s="19">
        <f>IFERROR(Ohj.lask.[[#This Row],[Jaettava € 6]]/Ohj.lask.[[#Totals],[Jaettava € 6]],"")</f>
        <v>1.159891699439951E-3</v>
      </c>
      <c r="Z73" s="23">
        <f>IFERROR(Ohj.lask.[[#This Row],[Jaettava € 1]]+Ohj.lask.[[#This Row],[Jaettava € 2]]+Ohj.lask.[[#This Row],[Jaettava € 3]]+Ohj.lask.[[#This Row],[Jaettava € 4]]+Ohj.lask.[[#This Row],[Jaettava € 5]],"")</f>
        <v>2099687</v>
      </c>
      <c r="AA73" s="17">
        <v>0</v>
      </c>
      <c r="AB73" s="17">
        <v>0</v>
      </c>
      <c r="AC73" s="18">
        <v>0</v>
      </c>
      <c r="AD73" s="17">
        <v>0</v>
      </c>
      <c r="AE73" s="18">
        <v>0</v>
      </c>
      <c r="AF73" s="17">
        <v>0</v>
      </c>
      <c r="AG73" s="18">
        <v>0</v>
      </c>
      <c r="AH73" s="17">
        <v>0</v>
      </c>
      <c r="AI73" s="18">
        <v>0</v>
      </c>
      <c r="AJ73" s="17">
        <v>0</v>
      </c>
      <c r="AK73" s="18">
        <v>0</v>
      </c>
      <c r="AL73" s="17">
        <v>0</v>
      </c>
      <c r="AM73" s="18">
        <v>0</v>
      </c>
      <c r="AN73" s="23">
        <v>0</v>
      </c>
      <c r="AO73" s="17">
        <v>0</v>
      </c>
      <c r="AP73" s="17">
        <v>0</v>
      </c>
      <c r="AQ73" s="18">
        <f>IFERROR(VLOOKUP(Ohj.lask.[[#This Row],[Y-tunnus]],#REF!,COLUMN(#REF!),FALSE),0)</f>
        <v>0</v>
      </c>
      <c r="AR73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73" s="17">
        <f>Ohj.lask.[[#This Row],[Jaettava € 1]]+Ohj.lask.[[#This Row],[Päätös, € 9]]</f>
        <v>1498292</v>
      </c>
      <c r="AT73" s="113">
        <f>Ohj.lask.[[#This Row],[Jaettava € 2]]</f>
        <v>358763</v>
      </c>
      <c r="AU73" s="17">
        <f>Ohj.lask.[[#This Row],[Jaettava € 3]]+Ohj.lask.[[#This Row],[Jaettava € 4]]+Ohj.lask.[[#This Row],[Jaettava € 5]]</f>
        <v>242632</v>
      </c>
      <c r="AV73" s="42">
        <f>Ohj.lask.[[#This Row],[Jaettava € 6]]+Ohj.lask.[[#This Row],[Päätös, € 9]]</f>
        <v>2099687</v>
      </c>
      <c r="AW73" s="42">
        <v>143056</v>
      </c>
      <c r="AX73" s="23">
        <f>Ohj.lask.[[#This Row],[Perus-, suoritus- ja vaikuttavuusrahoitus yhteensä, €]]+Ohj.lask.[[#This Row],[Alv-korvaus, €]]</f>
        <v>2242743</v>
      </c>
    </row>
    <row r="74" spans="1:50" ht="12.75" x14ac:dyDescent="0.2">
      <c r="A74" s="134" t="s">
        <v>317</v>
      </c>
      <c r="B74" s="14" t="s">
        <v>164</v>
      </c>
      <c r="C74" s="14" t="s">
        <v>222</v>
      </c>
      <c r="D74" s="14" t="s">
        <v>391</v>
      </c>
      <c r="E74" s="14" t="s">
        <v>439</v>
      </c>
      <c r="F74" s="117">
        <v>29</v>
      </c>
      <c r="G74" s="124">
        <f>Ohj.lask.[[#This Row],[Tavoitteelliset opiskelija-vuodet]]-Ohj.lask.[[#This Row],[Järjestämisluvan opisk.vuosien vähimmäismäärä]]</f>
        <v>1</v>
      </c>
      <c r="H74" s="41">
        <v>30</v>
      </c>
      <c r="I74" s="15">
        <f>IFERROR(VLOOKUP($A74,'2.1 Toteut. op.vuodet'!$A:$T,COLUMN('2.1 Toteut. op.vuodet'!T:T),FALSE),0)</f>
        <v>0.94709999999999905</v>
      </c>
      <c r="J74" s="81">
        <f t="shared" si="2"/>
        <v>28.4</v>
      </c>
      <c r="K74" s="16">
        <f>IFERROR(Ohj.lask.[[#This Row],[Painotetut opiskelija-vuodet]]/Ohj.lask.[[#Totals],[Painotetut opiskelija-vuodet]],0)</f>
        <v>1.3869137847509814E-4</v>
      </c>
      <c r="L74" s="17">
        <f>ROUND(IFERROR('1.1 Jakotaulu'!L$11*Ohj.lask.[[#This Row],[%-osuus 1]],0),0)</f>
        <v>174678</v>
      </c>
      <c r="M74" s="186">
        <f>IFERROR(ROUND(VLOOKUP($A74,'2.2 Tutk. ja osien pain. pist.'!$A:$Q,COLUMN('2.2 Tutk. ja osien pain. pist.'!P:P),FALSE),1),0)</f>
        <v>1712.3</v>
      </c>
      <c r="N74" s="16">
        <f>IFERROR(Ohj.lask.[[#This Row],[Painotetut pisteet 2]]/Ohj.lask.[[#Totals],[Painotetut pisteet 2]],0)</f>
        <v>1.0992291195994531E-4</v>
      </c>
      <c r="O74" s="23">
        <f>ROUND(IFERROR('1.1 Jakotaulu'!K$12*Ohj.lask.[[#This Row],[%-osuus 2]],0),0)</f>
        <v>40362</v>
      </c>
      <c r="P74" s="187">
        <f>IFERROR(ROUND(VLOOKUP($A74,'2.3 Työll. ja jatko-opisk.'!$A:$K,COLUMN('2.3 Työll. ja jatko-opisk.'!I:I),FALSE),1),0)</f>
        <v>27</v>
      </c>
      <c r="Q74" s="16">
        <f>IFERROR(Ohj.lask.[[#This Row],[Painotetut pisteet 3]]/Ohj.lask.[[#Totals],[Painotetut pisteet 3]],0)</f>
        <v>1.3566278051420217E-4</v>
      </c>
      <c r="R74" s="17">
        <f>ROUND(IFERROR('1.1 Jakotaulu'!L$14*Ohj.lask.[[#This Row],[%-osuus 3]],0),0)</f>
        <v>18680</v>
      </c>
      <c r="S74" s="186">
        <f>IFERROR(ROUND(VLOOKUP($A74,'2.4 Aloittaneet palaute'!$A:$K,COLUMN('2.4 Aloittaneet palaute'!J:J),FALSE),1),0)</f>
        <v>248.6</v>
      </c>
      <c r="T74" s="20">
        <f>IFERROR(Ohj.lask.[[#This Row],[Painotetut pisteet 4]]/Ohj.lask.[[#Totals],[Painotetut pisteet 4]],0)</f>
        <v>1.5102780618746217E-4</v>
      </c>
      <c r="U74" s="23">
        <f>ROUND(IFERROR('1.1 Jakotaulu'!M$16*Ohj.lask.[[#This Row],[%-osuus 4]],0),0)</f>
        <v>1733</v>
      </c>
      <c r="V74" s="81">
        <f>IFERROR(ROUND(VLOOKUP($A74,'2.5 Päättäneet palaute'!$A:$AC,COLUMN('2.5 Päättäneet palaute'!AB:AB),FALSE),1),0)</f>
        <v>2191.1</v>
      </c>
      <c r="W74" s="20">
        <f>IFERROR(Ohj.lask.[[#This Row],[Painotetut pisteet 5]]/Ohj.lask.[[#Totals],[Painotetut pisteet 5]],0)</f>
        <v>2.5414597441406197E-4</v>
      </c>
      <c r="X74" s="17">
        <f>ROUND(IFERROR('1.1 Jakotaulu'!M$17*Ohj.lask.[[#This Row],[%-osuus 5]],0),0)</f>
        <v>8749</v>
      </c>
      <c r="Y74" s="19">
        <f>IFERROR(Ohj.lask.[[#This Row],[Jaettava € 6]]/Ohj.lask.[[#Totals],[Jaettava € 6]],"")</f>
        <v>1.3490004595286581E-4</v>
      </c>
      <c r="Z74" s="23">
        <f>IFERROR(Ohj.lask.[[#This Row],[Jaettava € 1]]+Ohj.lask.[[#This Row],[Jaettava € 2]]+Ohj.lask.[[#This Row],[Jaettava € 3]]+Ohj.lask.[[#This Row],[Jaettava € 4]]+Ohj.lask.[[#This Row],[Jaettava € 5]],"")</f>
        <v>244202</v>
      </c>
      <c r="AA74" s="17">
        <v>25000</v>
      </c>
      <c r="AB74" s="17">
        <v>0</v>
      </c>
      <c r="AC74" s="18">
        <v>50000</v>
      </c>
      <c r="AD74" s="17">
        <v>0</v>
      </c>
      <c r="AE74" s="18">
        <v>25000</v>
      </c>
      <c r="AF74" s="17">
        <v>0</v>
      </c>
      <c r="AG74" s="18">
        <v>0</v>
      </c>
      <c r="AH74" s="17">
        <v>0</v>
      </c>
      <c r="AI74" s="18">
        <v>0</v>
      </c>
      <c r="AJ74" s="17">
        <v>0</v>
      </c>
      <c r="AK74" s="18">
        <v>0</v>
      </c>
      <c r="AL74" s="17">
        <v>0</v>
      </c>
      <c r="AM74" s="18">
        <v>0</v>
      </c>
      <c r="AN74" s="23">
        <v>0</v>
      </c>
      <c r="AO74" s="17">
        <v>0</v>
      </c>
      <c r="AP74" s="17">
        <v>0</v>
      </c>
      <c r="AQ74" s="18">
        <f>IFERROR(VLOOKUP(Ohj.lask.[[#This Row],[Y-tunnus]],#REF!,COLUMN(#REF!),FALSE),0)</f>
        <v>0</v>
      </c>
      <c r="AR74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74" s="17">
        <f>Ohj.lask.[[#This Row],[Jaettava € 1]]+Ohj.lask.[[#This Row],[Päätös, € 9]]</f>
        <v>174678</v>
      </c>
      <c r="AT74" s="113">
        <f>Ohj.lask.[[#This Row],[Jaettava € 2]]</f>
        <v>40362</v>
      </c>
      <c r="AU74" s="17">
        <f>Ohj.lask.[[#This Row],[Jaettava € 3]]+Ohj.lask.[[#This Row],[Jaettava € 4]]+Ohj.lask.[[#This Row],[Jaettava € 5]]</f>
        <v>29162</v>
      </c>
      <c r="AV74" s="42">
        <f>Ohj.lask.[[#This Row],[Jaettava € 6]]+Ohj.lask.[[#This Row],[Päätös, € 9]]</f>
        <v>244202</v>
      </c>
      <c r="AW74" s="42">
        <v>0</v>
      </c>
      <c r="AX74" s="23">
        <f>Ohj.lask.[[#This Row],[Perus-, suoritus- ja vaikuttavuusrahoitus yhteensä, €]]+Ohj.lask.[[#This Row],[Alv-korvaus, €]]</f>
        <v>244202</v>
      </c>
    </row>
    <row r="75" spans="1:50" ht="12.75" x14ac:dyDescent="0.2">
      <c r="A75" s="134" t="s">
        <v>361</v>
      </c>
      <c r="B75" s="14" t="s">
        <v>76</v>
      </c>
      <c r="C75" s="14" t="s">
        <v>216</v>
      </c>
      <c r="D75" s="14" t="s">
        <v>392</v>
      </c>
      <c r="E75" s="14" t="s">
        <v>438</v>
      </c>
      <c r="F75" s="117">
        <v>37</v>
      </c>
      <c r="G75" s="124">
        <f>Ohj.lask.[[#This Row],[Tavoitteelliset opiskelija-vuodet]]-Ohj.lask.[[#This Row],[Järjestämisluvan opisk.vuosien vähimmäismäärä]]</f>
        <v>0</v>
      </c>
      <c r="H75" s="41">
        <v>37</v>
      </c>
      <c r="I75" s="15">
        <f>IFERROR(VLOOKUP($A75,'2.1 Toteut. op.vuodet'!$A:$T,COLUMN('2.1 Toteut. op.vuodet'!T:T),FALSE),0)</f>
        <v>0.77593144364767941</v>
      </c>
      <c r="J75" s="81">
        <f t="shared" si="2"/>
        <v>28.7</v>
      </c>
      <c r="K75" s="16">
        <f>IFERROR(Ohj.lask.[[#This Row],[Painotetut opiskelija-vuodet]]/Ohj.lask.[[#Totals],[Painotetut opiskelija-vuodet]],0)</f>
        <v>1.4015642824772242E-4</v>
      </c>
      <c r="L75" s="17">
        <f>ROUND(IFERROR('1.1 Jakotaulu'!L$11*Ohj.lask.[[#This Row],[%-osuus 1]],0),0)</f>
        <v>176523</v>
      </c>
      <c r="M75" s="186">
        <f>IFERROR(ROUND(VLOOKUP($A75,'2.2 Tutk. ja osien pain. pist.'!$A:$Q,COLUMN('2.2 Tutk. ja osien pain. pist.'!P:P),FALSE),1),0)</f>
        <v>3229.2</v>
      </c>
      <c r="N75" s="16">
        <f>IFERROR(Ohj.lask.[[#This Row],[Painotetut pisteet 2]]/Ohj.lask.[[#Totals],[Painotetut pisteet 2]],0)</f>
        <v>2.0730191397597117E-4</v>
      </c>
      <c r="O75" s="23">
        <f>ROUND(IFERROR('1.1 Jakotaulu'!K$12*Ohj.lask.[[#This Row],[%-osuus 2]],0),0)</f>
        <v>76118</v>
      </c>
      <c r="P75" s="187">
        <f>IFERROR(ROUND(VLOOKUP($A75,'2.3 Työll. ja jatko-opisk.'!$A:$K,COLUMN('2.3 Työll. ja jatko-opisk.'!I:I),FALSE),1),0)</f>
        <v>102.8</v>
      </c>
      <c r="Q75" s="16">
        <f>IFERROR(Ohj.lask.[[#This Row],[Painotetut pisteet 3]]/Ohj.lask.[[#Totals],[Painotetut pisteet 3]],0)</f>
        <v>5.1652347543925867E-4</v>
      </c>
      <c r="R75" s="17">
        <f>ROUND(IFERROR('1.1 Jakotaulu'!L$14*Ohj.lask.[[#This Row],[%-osuus 3]],0),0)</f>
        <v>71122</v>
      </c>
      <c r="S75" s="186">
        <f>IFERROR(ROUND(VLOOKUP($A75,'2.4 Aloittaneet palaute'!$A:$K,COLUMN('2.4 Aloittaneet palaute'!J:J),FALSE),1),0)</f>
        <v>735</v>
      </c>
      <c r="T75" s="20">
        <f>IFERROR(Ohj.lask.[[#This Row],[Painotetut pisteet 4]]/Ohj.lask.[[#Totals],[Painotetut pisteet 4]],0)</f>
        <v>4.4652227493075099E-4</v>
      </c>
      <c r="U75" s="23">
        <f>ROUND(IFERROR('1.1 Jakotaulu'!M$16*Ohj.lask.[[#This Row],[%-osuus 4]],0),0)</f>
        <v>5124</v>
      </c>
      <c r="V75" s="81">
        <f>IFERROR(ROUND(VLOOKUP($A75,'2.5 Päättäneet palaute'!$A:$AC,COLUMN('2.5 Päättäneet palaute'!AB:AB),FALSE),1),0)</f>
        <v>440.7</v>
      </c>
      <c r="W75" s="20">
        <f>IFERROR(Ohj.lask.[[#This Row],[Painotetut pisteet 5]]/Ohj.lask.[[#Totals],[Painotetut pisteet 5]],0)</f>
        <v>5.1116850405858745E-5</v>
      </c>
      <c r="X75" s="17">
        <f>ROUND(IFERROR('1.1 Jakotaulu'!M$17*Ohj.lask.[[#This Row],[%-osuus 5]],0),0)</f>
        <v>1760</v>
      </c>
      <c r="Y75" s="19">
        <f>IFERROR(Ohj.lask.[[#This Row],[Jaettava € 6]]/Ohj.lask.[[#Totals],[Jaettava € 6]],"")</f>
        <v>1.826532767715957E-4</v>
      </c>
      <c r="Z75" s="23">
        <f>IFERROR(Ohj.lask.[[#This Row],[Jaettava € 1]]+Ohj.lask.[[#This Row],[Jaettava € 2]]+Ohj.lask.[[#This Row],[Jaettava € 3]]+Ohj.lask.[[#This Row],[Jaettava € 4]]+Ohj.lask.[[#This Row],[Jaettava € 5]],"")</f>
        <v>330647</v>
      </c>
      <c r="AA75" s="17">
        <v>0</v>
      </c>
      <c r="AB75" s="17">
        <v>0</v>
      </c>
      <c r="AC75" s="18">
        <v>0</v>
      </c>
      <c r="AD75" s="17">
        <v>0</v>
      </c>
      <c r="AE75" s="18">
        <v>0</v>
      </c>
      <c r="AF75" s="17">
        <v>0</v>
      </c>
      <c r="AG75" s="18">
        <v>0</v>
      </c>
      <c r="AH75" s="17">
        <v>0</v>
      </c>
      <c r="AI75" s="18">
        <v>0</v>
      </c>
      <c r="AJ75" s="17">
        <v>0</v>
      </c>
      <c r="AK75" s="18">
        <v>0</v>
      </c>
      <c r="AL75" s="17">
        <v>0</v>
      </c>
      <c r="AM75" s="18">
        <v>0</v>
      </c>
      <c r="AN75" s="23">
        <v>0</v>
      </c>
      <c r="AO75" s="17">
        <v>0</v>
      </c>
      <c r="AP75" s="17">
        <v>0</v>
      </c>
      <c r="AQ75" s="18">
        <f>IFERROR(VLOOKUP(Ohj.lask.[[#This Row],[Y-tunnus]],#REF!,COLUMN(#REF!),FALSE),0)</f>
        <v>0</v>
      </c>
      <c r="AR75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75" s="17">
        <f>Ohj.lask.[[#This Row],[Jaettava € 1]]+Ohj.lask.[[#This Row],[Päätös, € 9]]</f>
        <v>176523</v>
      </c>
      <c r="AT75" s="113">
        <f>Ohj.lask.[[#This Row],[Jaettava € 2]]</f>
        <v>76118</v>
      </c>
      <c r="AU75" s="17">
        <f>Ohj.lask.[[#This Row],[Jaettava € 3]]+Ohj.lask.[[#This Row],[Jaettava € 4]]+Ohj.lask.[[#This Row],[Jaettava € 5]]</f>
        <v>78006</v>
      </c>
      <c r="AV75" s="42">
        <f>Ohj.lask.[[#This Row],[Jaettava € 6]]+Ohj.lask.[[#This Row],[Päätös, € 9]]</f>
        <v>330647</v>
      </c>
      <c r="AW75" s="42">
        <v>0</v>
      </c>
      <c r="AX75" s="23">
        <f>Ohj.lask.[[#This Row],[Perus-, suoritus- ja vaikuttavuusrahoitus yhteensä, €]]+Ohj.lask.[[#This Row],[Alv-korvaus, €]]</f>
        <v>330647</v>
      </c>
    </row>
    <row r="76" spans="1:50" ht="12.75" x14ac:dyDescent="0.2">
      <c r="A76" s="134" t="s">
        <v>316</v>
      </c>
      <c r="B76" s="14" t="s">
        <v>77</v>
      </c>
      <c r="C76" s="14" t="s">
        <v>230</v>
      </c>
      <c r="D76" s="14" t="s">
        <v>392</v>
      </c>
      <c r="E76" s="14" t="s">
        <v>438</v>
      </c>
      <c r="F76" s="117">
        <v>24</v>
      </c>
      <c r="G76" s="124">
        <f>Ohj.lask.[[#This Row],[Tavoitteelliset opiskelija-vuodet]]-Ohj.lask.[[#This Row],[Järjestämisluvan opisk.vuosien vähimmäismäärä]]</f>
        <v>5</v>
      </c>
      <c r="H76" s="41">
        <v>29</v>
      </c>
      <c r="I76" s="15">
        <f>IFERROR(VLOOKUP($A76,'2.1 Toteut. op.vuodet'!$A:$T,COLUMN('2.1 Toteut. op.vuodet'!T:T),FALSE),0)</f>
        <v>0.78189846449136247</v>
      </c>
      <c r="J76" s="81">
        <f t="shared" si="2"/>
        <v>22.7</v>
      </c>
      <c r="K76" s="16">
        <f>IFERROR(Ohj.lask.[[#This Row],[Painotetut opiskelija-vuodet]]/Ohj.lask.[[#Totals],[Painotetut opiskelija-vuodet]],0)</f>
        <v>1.1085543279523689E-4</v>
      </c>
      <c r="L76" s="17">
        <f>ROUND(IFERROR('1.1 Jakotaulu'!L$11*Ohj.lask.[[#This Row],[%-osuus 1]],0),0)</f>
        <v>139619</v>
      </c>
      <c r="M76" s="186">
        <f>IFERROR(ROUND(VLOOKUP($A76,'2.2 Tutk. ja osien pain. pist.'!$A:$Q,COLUMN('2.2 Tutk. ja osien pain. pist.'!P:P),FALSE),1),0)</f>
        <v>1835.3</v>
      </c>
      <c r="N76" s="16">
        <f>IFERROR(Ohj.lask.[[#This Row],[Painotetut pisteet 2]]/Ohj.lask.[[#Totals],[Painotetut pisteet 2]],0)</f>
        <v>1.178190272265886E-4</v>
      </c>
      <c r="O76" s="23">
        <f>ROUND(IFERROR('1.1 Jakotaulu'!K$12*Ohj.lask.[[#This Row],[%-osuus 2]],0),0)</f>
        <v>43261</v>
      </c>
      <c r="P76" s="187">
        <f>IFERROR(ROUND(VLOOKUP($A76,'2.3 Työll. ja jatko-opisk.'!$A:$K,COLUMN('2.3 Työll. ja jatko-opisk.'!I:I),FALSE),1),0)</f>
        <v>62.7</v>
      </c>
      <c r="Q76" s="16">
        <f>IFERROR(Ohj.lask.[[#This Row],[Painotetut pisteet 3]]/Ohj.lask.[[#Totals],[Painotetut pisteet 3]],0)</f>
        <v>3.1503912363853618E-4</v>
      </c>
      <c r="R76" s="17">
        <f>ROUND(IFERROR('1.1 Jakotaulu'!L$14*Ohj.lask.[[#This Row],[%-osuus 3]],0),0)</f>
        <v>43379</v>
      </c>
      <c r="S76" s="186">
        <f>IFERROR(ROUND(VLOOKUP($A76,'2.4 Aloittaneet palaute'!$A:$K,COLUMN('2.4 Aloittaneet palaute'!J:J),FALSE),1),0)</f>
        <v>328.1</v>
      </c>
      <c r="T76" s="20">
        <f>IFERROR(Ohj.lask.[[#This Row],[Painotetut pisteet 4]]/Ohj.lask.[[#Totals],[Painotetut pisteet 4]],0)</f>
        <v>1.9932511347589037E-4</v>
      </c>
      <c r="U76" s="23">
        <f>ROUND(IFERROR('1.1 Jakotaulu'!M$16*Ohj.lask.[[#This Row],[%-osuus 4]],0),0)</f>
        <v>2287</v>
      </c>
      <c r="V76" s="81">
        <f>IFERROR(ROUND(VLOOKUP($A76,'2.5 Päättäneet palaute'!$A:$AC,COLUMN('2.5 Päättäneet palaute'!AB:AB),FALSE),1),0)</f>
        <v>2102.8000000000002</v>
      </c>
      <c r="W76" s="20">
        <f>IFERROR(Ohj.lask.[[#This Row],[Painotetut pisteet 5]]/Ohj.lask.[[#Totals],[Painotetut pisteet 5]],0)</f>
        <v>2.4390404591204852E-4</v>
      </c>
      <c r="X76" s="17">
        <f>ROUND(IFERROR('1.1 Jakotaulu'!M$17*Ohj.lask.[[#This Row],[%-osuus 5]],0),0)</f>
        <v>8396</v>
      </c>
      <c r="Y76" s="19">
        <f>IFERROR(Ohj.lask.[[#This Row],[Jaettava € 6]]/Ohj.lask.[[#Totals],[Jaettava € 6]],"")</f>
        <v>1.3088953689226104E-4</v>
      </c>
      <c r="Z76" s="23">
        <f>IFERROR(Ohj.lask.[[#This Row],[Jaettava € 1]]+Ohj.lask.[[#This Row],[Jaettava € 2]]+Ohj.lask.[[#This Row],[Jaettava € 3]]+Ohj.lask.[[#This Row],[Jaettava € 4]]+Ohj.lask.[[#This Row],[Jaettava € 5]],"")</f>
        <v>236942</v>
      </c>
      <c r="AA76" s="17">
        <v>0</v>
      </c>
      <c r="AB76" s="17">
        <v>0</v>
      </c>
      <c r="AC76" s="18">
        <v>0</v>
      </c>
      <c r="AD76" s="17">
        <v>0</v>
      </c>
      <c r="AE76" s="18">
        <v>16000</v>
      </c>
      <c r="AF76" s="17">
        <v>0</v>
      </c>
      <c r="AG76" s="18">
        <v>0</v>
      </c>
      <c r="AH76" s="17">
        <v>0</v>
      </c>
      <c r="AI76" s="18">
        <v>0</v>
      </c>
      <c r="AJ76" s="17">
        <v>0</v>
      </c>
      <c r="AK76" s="18">
        <v>0</v>
      </c>
      <c r="AL76" s="17">
        <v>0</v>
      </c>
      <c r="AM76" s="18">
        <v>12000</v>
      </c>
      <c r="AN76" s="23">
        <v>10000</v>
      </c>
      <c r="AO76" s="17">
        <v>0</v>
      </c>
      <c r="AP76" s="17">
        <v>0</v>
      </c>
      <c r="AQ76" s="18">
        <f>IFERROR(VLOOKUP(Ohj.lask.[[#This Row],[Y-tunnus]],#REF!,COLUMN(#REF!),FALSE),0)</f>
        <v>0</v>
      </c>
      <c r="AR76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10000</v>
      </c>
      <c r="AS76" s="17">
        <f>Ohj.lask.[[#This Row],[Jaettava € 1]]+Ohj.lask.[[#This Row],[Päätös, € 9]]</f>
        <v>149619</v>
      </c>
      <c r="AT76" s="113">
        <f>Ohj.lask.[[#This Row],[Jaettava € 2]]</f>
        <v>43261</v>
      </c>
      <c r="AU76" s="17">
        <f>Ohj.lask.[[#This Row],[Jaettava € 3]]+Ohj.lask.[[#This Row],[Jaettava € 4]]+Ohj.lask.[[#This Row],[Jaettava € 5]]</f>
        <v>54062</v>
      </c>
      <c r="AV76" s="42">
        <f>Ohj.lask.[[#This Row],[Jaettava € 6]]+Ohj.lask.[[#This Row],[Päätös, € 9]]</f>
        <v>246942</v>
      </c>
      <c r="AW76" s="42">
        <v>4687</v>
      </c>
      <c r="AX76" s="23">
        <f>Ohj.lask.[[#This Row],[Perus-, suoritus- ja vaikuttavuusrahoitus yhteensä, €]]+Ohj.lask.[[#This Row],[Alv-korvaus, €]]</f>
        <v>251629</v>
      </c>
    </row>
    <row r="77" spans="1:50" ht="12.75" x14ac:dyDescent="0.2">
      <c r="A77" s="134" t="s">
        <v>315</v>
      </c>
      <c r="B77" s="14" t="s">
        <v>78</v>
      </c>
      <c r="C77" s="14" t="s">
        <v>230</v>
      </c>
      <c r="D77" s="14" t="s">
        <v>392</v>
      </c>
      <c r="E77" s="14" t="s">
        <v>438</v>
      </c>
      <c r="F77" s="117">
        <v>41</v>
      </c>
      <c r="G77" s="124">
        <f>Ohj.lask.[[#This Row],[Tavoitteelliset opiskelija-vuodet]]-Ohj.lask.[[#This Row],[Järjestämisluvan opisk.vuosien vähimmäismäärä]]</f>
        <v>2</v>
      </c>
      <c r="H77" s="41">
        <v>43</v>
      </c>
      <c r="I77" s="15">
        <f>IFERROR(VLOOKUP($A77,'2.1 Toteut. op.vuodet'!$A:$T,COLUMN('2.1 Toteut. op.vuodet'!T:T),FALSE),0)</f>
        <v>1.5699682755495121</v>
      </c>
      <c r="J77" s="81">
        <f t="shared" si="2"/>
        <v>67.5</v>
      </c>
      <c r="K77" s="16">
        <f>IFERROR(Ohj.lask.[[#This Row],[Painotetut opiskelija-vuodet]]/Ohj.lask.[[#Totals],[Painotetut opiskelija-vuodet]],0)</f>
        <v>3.2963619884046212E-4</v>
      </c>
      <c r="L77" s="17">
        <f>ROUND(IFERROR('1.1 Jakotaulu'!L$11*Ohj.lask.[[#This Row],[%-osuus 1]],0),0)</f>
        <v>415167</v>
      </c>
      <c r="M77" s="186">
        <f>IFERROR(ROUND(VLOOKUP($A77,'2.2 Tutk. ja osien pain. pist.'!$A:$Q,COLUMN('2.2 Tutk. ja osien pain. pist.'!P:P),FALSE),1),0)</f>
        <v>5429</v>
      </c>
      <c r="N77" s="16">
        <f>IFERROR(Ohj.lask.[[#This Row],[Painotetut pisteet 2]]/Ohj.lask.[[#Totals],[Painotetut pisteet 2]],0)</f>
        <v>3.4852040473663679E-4</v>
      </c>
      <c r="O77" s="23">
        <f>ROUND(IFERROR('1.1 Jakotaulu'!K$12*Ohj.lask.[[#This Row],[%-osuus 2]],0),0)</f>
        <v>127970</v>
      </c>
      <c r="P77" s="187">
        <f>IFERROR(ROUND(VLOOKUP($A77,'2.3 Työll. ja jatko-opisk.'!$A:$K,COLUMN('2.3 Työll. ja jatko-opisk.'!I:I),FALSE),1),0)</f>
        <v>52.8</v>
      </c>
      <c r="Q77" s="16">
        <f>IFERROR(Ohj.lask.[[#This Row],[Painotetut pisteet 3]]/Ohj.lask.[[#Totals],[Painotetut pisteet 3]],0)</f>
        <v>2.65296104116662E-4</v>
      </c>
      <c r="R77" s="17">
        <f>ROUND(IFERROR('1.1 Jakotaulu'!L$14*Ohj.lask.[[#This Row],[%-osuus 3]],0),0)</f>
        <v>36529</v>
      </c>
      <c r="S77" s="186">
        <f>IFERROR(ROUND(VLOOKUP($A77,'2.4 Aloittaneet palaute'!$A:$K,COLUMN('2.4 Aloittaneet palaute'!J:J),FALSE),1),0)</f>
        <v>589.9</v>
      </c>
      <c r="T77" s="20">
        <f>IFERROR(Ohj.lask.[[#This Row],[Painotetut pisteet 4]]/Ohj.lask.[[#Totals],[Painotetut pisteet 4]],0)</f>
        <v>3.583720952131293E-4</v>
      </c>
      <c r="U77" s="23">
        <f>ROUND(IFERROR('1.1 Jakotaulu'!M$16*Ohj.lask.[[#This Row],[%-osuus 4]],0),0)</f>
        <v>4112</v>
      </c>
      <c r="V77" s="81">
        <f>IFERROR(ROUND(VLOOKUP($A77,'2.5 Päättäneet palaute'!$A:$AC,COLUMN('2.5 Päättäneet palaute'!AB:AB),FALSE),1),0)</f>
        <v>1299.3</v>
      </c>
      <c r="W77" s="20">
        <f>IFERROR(Ohj.lask.[[#This Row],[Painotetut pisteet 5]]/Ohj.lask.[[#Totals],[Painotetut pisteet 5]],0)</f>
        <v>1.5070597624763392E-4</v>
      </c>
      <c r="X77" s="17">
        <f>ROUND(IFERROR('1.1 Jakotaulu'!M$17*Ohj.lask.[[#This Row],[%-osuus 5]],0),0)</f>
        <v>5188</v>
      </c>
      <c r="Y77" s="19">
        <f>IFERROR(Ohj.lask.[[#This Row],[Jaettava € 6]]/Ohj.lask.[[#Totals],[Jaettava € 6]],"")</f>
        <v>3.2535171892398733E-4</v>
      </c>
      <c r="Z77" s="23">
        <f>IFERROR(Ohj.lask.[[#This Row],[Jaettava € 1]]+Ohj.lask.[[#This Row],[Jaettava € 2]]+Ohj.lask.[[#This Row],[Jaettava € 3]]+Ohj.lask.[[#This Row],[Jaettava € 4]]+Ohj.lask.[[#This Row],[Jaettava € 5]],"")</f>
        <v>588966</v>
      </c>
      <c r="AA77" s="17">
        <v>0</v>
      </c>
      <c r="AB77" s="17">
        <v>0</v>
      </c>
      <c r="AC77" s="18">
        <v>0</v>
      </c>
      <c r="AD77" s="17">
        <v>0</v>
      </c>
      <c r="AE77" s="18">
        <v>56000</v>
      </c>
      <c r="AF77" s="17">
        <v>0</v>
      </c>
      <c r="AG77" s="18">
        <v>0</v>
      </c>
      <c r="AH77" s="17">
        <v>0</v>
      </c>
      <c r="AI77" s="18">
        <v>0</v>
      </c>
      <c r="AJ77" s="17">
        <v>0</v>
      </c>
      <c r="AK77" s="18">
        <v>56000</v>
      </c>
      <c r="AL77" s="17">
        <v>0</v>
      </c>
      <c r="AM77" s="18">
        <v>0</v>
      </c>
      <c r="AN77" s="23">
        <v>0</v>
      </c>
      <c r="AO77" s="17">
        <v>0</v>
      </c>
      <c r="AP77" s="17">
        <v>0</v>
      </c>
      <c r="AQ77" s="18">
        <f>IFERROR(VLOOKUP(Ohj.lask.[[#This Row],[Y-tunnus]],#REF!,COLUMN(#REF!),FALSE),0)</f>
        <v>0</v>
      </c>
      <c r="AR77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77" s="17">
        <f>Ohj.lask.[[#This Row],[Jaettava € 1]]+Ohj.lask.[[#This Row],[Päätös, € 9]]</f>
        <v>415167</v>
      </c>
      <c r="AT77" s="113">
        <f>Ohj.lask.[[#This Row],[Jaettava € 2]]</f>
        <v>127970</v>
      </c>
      <c r="AU77" s="17">
        <f>Ohj.lask.[[#This Row],[Jaettava € 3]]+Ohj.lask.[[#This Row],[Jaettava € 4]]+Ohj.lask.[[#This Row],[Jaettava € 5]]</f>
        <v>45829</v>
      </c>
      <c r="AV77" s="42">
        <f>Ohj.lask.[[#This Row],[Jaettava € 6]]+Ohj.lask.[[#This Row],[Päätös, € 9]]</f>
        <v>588966</v>
      </c>
      <c r="AW77" s="42">
        <v>10001</v>
      </c>
      <c r="AX77" s="23">
        <f>Ohj.lask.[[#This Row],[Perus-, suoritus- ja vaikuttavuusrahoitus yhteensä, €]]+Ohj.lask.[[#This Row],[Alv-korvaus, €]]</f>
        <v>598967</v>
      </c>
    </row>
    <row r="78" spans="1:50" ht="12.75" x14ac:dyDescent="0.2">
      <c r="A78" s="134" t="s">
        <v>313</v>
      </c>
      <c r="B78" s="14" t="s">
        <v>79</v>
      </c>
      <c r="C78" s="14" t="s">
        <v>312</v>
      </c>
      <c r="D78" s="14" t="s">
        <v>391</v>
      </c>
      <c r="E78" s="14" t="s">
        <v>438</v>
      </c>
      <c r="F78" s="117">
        <v>1130</v>
      </c>
      <c r="G78" s="124">
        <f>Ohj.lask.[[#This Row],[Tavoitteelliset opiskelija-vuodet]]-Ohj.lask.[[#This Row],[Järjestämisluvan opisk.vuosien vähimmäismäärä]]</f>
        <v>75</v>
      </c>
      <c r="H78" s="41">
        <v>1205</v>
      </c>
      <c r="I78" s="15">
        <f>IFERROR(VLOOKUP($A78,'2.1 Toteut. op.vuodet'!$A:$T,COLUMN('2.1 Toteut. op.vuodet'!T:T),FALSE),0)</f>
        <v>1.0083464023420647</v>
      </c>
      <c r="J78" s="81">
        <f t="shared" si="2"/>
        <v>1215.0999999999999</v>
      </c>
      <c r="K78" s="16">
        <f>IFERROR(Ohj.lask.[[#This Row],[Painotetut opiskelija-vuodet]]/Ohj.lask.[[#Totals],[Painotetut opiskelija-vuodet]],0)</f>
        <v>5.9339399290525259E-3</v>
      </c>
      <c r="L78" s="17">
        <f>ROUND(IFERROR('1.1 Jakotaulu'!L$11*Ohj.lask.[[#This Row],[%-osuus 1]],0),0)</f>
        <v>7473625</v>
      </c>
      <c r="M78" s="186">
        <f>IFERROR(ROUND(VLOOKUP($A78,'2.2 Tutk. ja osien pain. pist.'!$A:$Q,COLUMN('2.2 Tutk. ja osien pain. pist.'!P:P),FALSE),1),0)</f>
        <v>104611.7</v>
      </c>
      <c r="N78" s="16">
        <f>IFERROR(Ohj.lask.[[#This Row],[Painotetut pisteet 2]]/Ohj.lask.[[#Totals],[Painotetut pisteet 2]],0)</f>
        <v>6.7156588734919188E-3</v>
      </c>
      <c r="O78" s="23">
        <f>ROUND(IFERROR('1.1 Jakotaulu'!K$12*Ohj.lask.[[#This Row],[%-osuus 2]],0),0)</f>
        <v>2465869</v>
      </c>
      <c r="P78" s="187">
        <f>IFERROR(ROUND(VLOOKUP($A78,'2.3 Työll. ja jatko-opisk.'!$A:$K,COLUMN('2.3 Työll. ja jatko-opisk.'!I:I),FALSE),1),0)</f>
        <v>1343.1</v>
      </c>
      <c r="Q78" s="16">
        <f>IFERROR(Ohj.lask.[[#This Row],[Painotetut pisteet 3]]/Ohj.lask.[[#Totals],[Painotetut pisteet 3]],0)</f>
        <v>6.7484696484675904E-3</v>
      </c>
      <c r="R78" s="17">
        <f>ROUND(IFERROR('1.1 Jakotaulu'!L$14*Ohj.lask.[[#This Row],[%-osuus 3]],0),0)</f>
        <v>929219</v>
      </c>
      <c r="S78" s="186">
        <f>IFERROR(ROUND(VLOOKUP($A78,'2.4 Aloittaneet palaute'!$A:$K,COLUMN('2.4 Aloittaneet palaute'!J:J),FALSE),1),0)</f>
        <v>14226</v>
      </c>
      <c r="T78" s="20">
        <f>IFERROR(Ohj.lask.[[#This Row],[Painotetut pisteet 4]]/Ohj.lask.[[#Totals],[Painotetut pisteet 4]],0)</f>
        <v>8.6424841947821286E-3</v>
      </c>
      <c r="U78" s="23">
        <f>ROUND(IFERROR('1.1 Jakotaulu'!M$16*Ohj.lask.[[#This Row],[%-osuus 4]],0),0)</f>
        <v>99168</v>
      </c>
      <c r="V78" s="81">
        <f>IFERROR(ROUND(VLOOKUP($A78,'2.5 Päättäneet palaute'!$A:$AC,COLUMN('2.5 Päättäneet palaute'!AB:AB),FALSE),1),0)</f>
        <v>60987.5</v>
      </c>
      <c r="W78" s="20">
        <f>IFERROR(Ohj.lask.[[#This Row],[Painotetut pisteet 5]]/Ohj.lask.[[#Totals],[Painotetut pisteet 5]],0)</f>
        <v>7.0739480692700489E-3</v>
      </c>
      <c r="X78" s="17">
        <f>ROUND(IFERROR('1.1 Jakotaulu'!M$17*Ohj.lask.[[#This Row],[%-osuus 5]],0),0)</f>
        <v>243509</v>
      </c>
      <c r="Y78" s="19">
        <f>IFERROR(Ohj.lask.[[#This Row],[Jaettava € 6]]/Ohj.lask.[[#Totals],[Jaettava € 6]],"")</f>
        <v>6.1933031924206192E-3</v>
      </c>
      <c r="Z78" s="23">
        <f>IFERROR(Ohj.lask.[[#This Row],[Jaettava € 1]]+Ohj.lask.[[#This Row],[Jaettava € 2]]+Ohj.lask.[[#This Row],[Jaettava € 3]]+Ohj.lask.[[#This Row],[Jaettava € 4]]+Ohj.lask.[[#This Row],[Jaettava € 5]],"")</f>
        <v>11211390</v>
      </c>
      <c r="AA78" s="17">
        <v>247000</v>
      </c>
      <c r="AB78" s="17">
        <v>155000</v>
      </c>
      <c r="AC78" s="18">
        <v>0</v>
      </c>
      <c r="AD78" s="17">
        <v>0</v>
      </c>
      <c r="AE78" s="18">
        <v>0</v>
      </c>
      <c r="AF78" s="17">
        <v>0</v>
      </c>
      <c r="AG78" s="18">
        <v>0</v>
      </c>
      <c r="AH78" s="17">
        <v>0</v>
      </c>
      <c r="AI78" s="18">
        <v>0</v>
      </c>
      <c r="AJ78" s="17">
        <v>0</v>
      </c>
      <c r="AK78" s="18">
        <v>0</v>
      </c>
      <c r="AL78" s="17">
        <v>0</v>
      </c>
      <c r="AM78" s="18">
        <v>50000</v>
      </c>
      <c r="AN78" s="23">
        <v>40000</v>
      </c>
      <c r="AO78" s="17">
        <v>0</v>
      </c>
      <c r="AP78" s="17">
        <v>0</v>
      </c>
      <c r="AQ78" s="18">
        <f>IFERROR(VLOOKUP(Ohj.lask.[[#This Row],[Y-tunnus]],#REF!,COLUMN(#REF!),FALSE),0)</f>
        <v>0</v>
      </c>
      <c r="AR78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195000</v>
      </c>
      <c r="AS78" s="17">
        <f>Ohj.lask.[[#This Row],[Jaettava € 1]]+Ohj.lask.[[#This Row],[Päätös, € 9]]</f>
        <v>7668625</v>
      </c>
      <c r="AT78" s="113">
        <f>Ohj.lask.[[#This Row],[Jaettava € 2]]</f>
        <v>2465869</v>
      </c>
      <c r="AU78" s="17">
        <f>Ohj.lask.[[#This Row],[Jaettava € 3]]+Ohj.lask.[[#This Row],[Jaettava € 4]]+Ohj.lask.[[#This Row],[Jaettava € 5]]</f>
        <v>1271896</v>
      </c>
      <c r="AV78" s="42">
        <f>Ohj.lask.[[#This Row],[Jaettava € 6]]+Ohj.lask.[[#This Row],[Päätös, € 9]]</f>
        <v>11406390</v>
      </c>
      <c r="AW78" s="42">
        <v>0</v>
      </c>
      <c r="AX78" s="23">
        <f>Ohj.lask.[[#This Row],[Perus-, suoritus- ja vaikuttavuusrahoitus yhteensä, €]]+Ohj.lask.[[#This Row],[Alv-korvaus, €]]</f>
        <v>11406390</v>
      </c>
    </row>
    <row r="79" spans="1:50" ht="12.75" x14ac:dyDescent="0.2">
      <c r="A79" s="134" t="s">
        <v>311</v>
      </c>
      <c r="B79" s="14" t="s">
        <v>80</v>
      </c>
      <c r="C79" s="14" t="s">
        <v>232</v>
      </c>
      <c r="D79" s="14" t="s">
        <v>391</v>
      </c>
      <c r="E79" s="14" t="s">
        <v>438</v>
      </c>
      <c r="F79" s="117">
        <v>1604</v>
      </c>
      <c r="G79" s="124">
        <f>Ohj.lask.[[#This Row],[Tavoitteelliset opiskelija-vuodet]]-Ohj.lask.[[#This Row],[Järjestämisluvan opisk.vuosien vähimmäismäärä]]</f>
        <v>162</v>
      </c>
      <c r="H79" s="41">
        <v>1766</v>
      </c>
      <c r="I79" s="15">
        <f>IFERROR(VLOOKUP($A79,'2.1 Toteut. op.vuodet'!$A:$T,COLUMN('2.1 Toteut. op.vuodet'!T:T),FALSE),0)</f>
        <v>1.0283717109754442</v>
      </c>
      <c r="J79" s="81">
        <f t="shared" si="2"/>
        <v>1816.1</v>
      </c>
      <c r="K79" s="16">
        <f>IFERROR(Ohj.lask.[[#This Row],[Painotetut opiskelija-vuodet]]/Ohj.lask.[[#Totals],[Painotetut opiskelija-vuodet]],0)</f>
        <v>8.8689229735431589E-3</v>
      </c>
      <c r="L79" s="17">
        <f>ROUND(IFERROR('1.1 Jakotaulu'!L$11*Ohj.lask.[[#This Row],[%-osuus 1]],0),0)</f>
        <v>11170151</v>
      </c>
      <c r="M79" s="186">
        <f>IFERROR(ROUND(VLOOKUP($A79,'2.2 Tutk. ja osien pain. pist.'!$A:$Q,COLUMN('2.2 Tutk. ja osien pain. pist.'!P:P),FALSE),1),0)</f>
        <v>150929.70000000001</v>
      </c>
      <c r="N79" s="16">
        <f>IFERROR(Ohj.lask.[[#This Row],[Painotetut pisteet 2]]/Ohj.lask.[[#Totals],[Painotetut pisteet 2]],0)</f>
        <v>9.6890919378852768E-3</v>
      </c>
      <c r="O79" s="23">
        <f>ROUND(IFERROR('1.1 Jakotaulu'!K$12*Ohj.lask.[[#This Row],[%-osuus 2]],0),0)</f>
        <v>3557660</v>
      </c>
      <c r="P79" s="187">
        <f>IFERROR(ROUND(VLOOKUP($A79,'2.3 Työll. ja jatko-opisk.'!$A:$K,COLUMN('2.3 Työll. ja jatko-opisk.'!I:I),FALSE),1),0)</f>
        <v>1726.2</v>
      </c>
      <c r="Q79" s="16">
        <f>IFERROR(Ohj.lask.[[#This Row],[Painotetut pisteet 3]]/Ohj.lask.[[#Totals],[Painotetut pisteet 3]],0)</f>
        <v>8.6733737675413255E-3</v>
      </c>
      <c r="R79" s="17">
        <f>ROUND(IFERROR('1.1 Jakotaulu'!L$14*Ohj.lask.[[#This Row],[%-osuus 3]],0),0)</f>
        <v>1194265</v>
      </c>
      <c r="S79" s="186">
        <f>IFERROR(ROUND(VLOOKUP($A79,'2.4 Aloittaneet palaute'!$A:$K,COLUMN('2.4 Aloittaneet palaute'!J:J),FALSE),1),0)</f>
        <v>20295.900000000001</v>
      </c>
      <c r="T79" s="20">
        <f>IFERROR(Ohj.lask.[[#This Row],[Painotetut pisteet 4]]/Ohj.lask.[[#Totals],[Painotetut pisteet 4]],0)</f>
        <v>1.2330029169751061E-2</v>
      </c>
      <c r="U79" s="23">
        <f>ROUND(IFERROR('1.1 Jakotaulu'!M$16*Ohj.lask.[[#This Row],[%-osuus 4]],0),0)</f>
        <v>141480</v>
      </c>
      <c r="V79" s="81">
        <f>IFERROR(ROUND(VLOOKUP($A79,'2.5 Päättäneet palaute'!$A:$AC,COLUMN('2.5 Päättäneet palaute'!AB:AB),FALSE),1),0)</f>
        <v>83750.7</v>
      </c>
      <c r="W79" s="20">
        <f>IFERROR(Ohj.lask.[[#This Row],[Painotetut pisteet 5]]/Ohj.lask.[[#Totals],[Painotetut pisteet 5]],0)</f>
        <v>9.7142546024187749E-3</v>
      </c>
      <c r="X79" s="17">
        <f>ROUND(IFERROR('1.1 Jakotaulu'!M$17*Ohj.lask.[[#This Row],[%-osuus 5]],0),0)</f>
        <v>334397</v>
      </c>
      <c r="Y79" s="19">
        <f>IFERROR(Ohj.lask.[[#This Row],[Jaettava € 6]]/Ohj.lask.[[#Totals],[Jaettava € 6]],"")</f>
        <v>9.0584213611392753E-3</v>
      </c>
      <c r="Z79" s="23">
        <f>IFERROR(Ohj.lask.[[#This Row],[Jaettava € 1]]+Ohj.lask.[[#This Row],[Jaettava € 2]]+Ohj.lask.[[#This Row],[Jaettava € 3]]+Ohj.lask.[[#This Row],[Jaettava € 4]]+Ohj.lask.[[#This Row],[Jaettava € 5]],"")</f>
        <v>16397953</v>
      </c>
      <c r="AA79" s="17">
        <v>0</v>
      </c>
      <c r="AB79" s="17">
        <v>0</v>
      </c>
      <c r="AC79" s="18">
        <v>0</v>
      </c>
      <c r="AD79" s="17">
        <v>0</v>
      </c>
      <c r="AE79" s="18">
        <v>0</v>
      </c>
      <c r="AF79" s="17">
        <v>0</v>
      </c>
      <c r="AG79" s="18">
        <v>0</v>
      </c>
      <c r="AH79" s="17">
        <v>0</v>
      </c>
      <c r="AI79" s="18">
        <v>0</v>
      </c>
      <c r="AJ79" s="17">
        <v>0</v>
      </c>
      <c r="AK79" s="18">
        <v>0</v>
      </c>
      <c r="AL79" s="17">
        <v>0</v>
      </c>
      <c r="AM79" s="18">
        <v>0</v>
      </c>
      <c r="AN79" s="23">
        <v>0</v>
      </c>
      <c r="AO79" s="17">
        <v>0</v>
      </c>
      <c r="AP79" s="17">
        <v>0</v>
      </c>
      <c r="AQ79" s="18">
        <f>IFERROR(VLOOKUP(Ohj.lask.[[#This Row],[Y-tunnus]],#REF!,COLUMN(#REF!),FALSE),0)</f>
        <v>0</v>
      </c>
      <c r="AR79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79" s="17">
        <f>Ohj.lask.[[#This Row],[Jaettava € 1]]+Ohj.lask.[[#This Row],[Päätös, € 9]]</f>
        <v>11170151</v>
      </c>
      <c r="AT79" s="113">
        <f>Ohj.lask.[[#This Row],[Jaettava € 2]]</f>
        <v>3557660</v>
      </c>
      <c r="AU79" s="17">
        <f>Ohj.lask.[[#This Row],[Jaettava € 3]]+Ohj.lask.[[#This Row],[Jaettava € 4]]+Ohj.lask.[[#This Row],[Jaettava € 5]]</f>
        <v>1670142</v>
      </c>
      <c r="AV79" s="42">
        <f>Ohj.lask.[[#This Row],[Jaettava € 6]]+Ohj.lask.[[#This Row],[Päätös, € 9]]</f>
        <v>16397953</v>
      </c>
      <c r="AW79" s="42">
        <v>0</v>
      </c>
      <c r="AX79" s="23">
        <f>Ohj.lask.[[#This Row],[Perus-, suoritus- ja vaikuttavuusrahoitus yhteensä, €]]+Ohj.lask.[[#This Row],[Alv-korvaus, €]]</f>
        <v>16397953</v>
      </c>
    </row>
    <row r="80" spans="1:50" ht="12.75" x14ac:dyDescent="0.2">
      <c r="A80" s="134" t="s">
        <v>310</v>
      </c>
      <c r="B80" s="14" t="s">
        <v>81</v>
      </c>
      <c r="C80" s="14" t="s">
        <v>216</v>
      </c>
      <c r="D80" s="14" t="s">
        <v>391</v>
      </c>
      <c r="E80" s="14" t="s">
        <v>438</v>
      </c>
      <c r="F80" s="117">
        <v>2470</v>
      </c>
      <c r="G80" s="124">
        <f>Ohj.lask.[[#This Row],[Tavoitteelliset opiskelija-vuodet]]-Ohj.lask.[[#This Row],[Järjestämisluvan opisk.vuosien vähimmäismäärä]]</f>
        <v>483</v>
      </c>
      <c r="H80" s="41">
        <v>2953</v>
      </c>
      <c r="I80" s="15">
        <f>IFERROR(VLOOKUP($A80,'2.1 Toteut. op.vuodet'!$A:$T,COLUMN('2.1 Toteut. op.vuodet'!T:T),FALSE),0)</f>
        <v>1.0623170761335416</v>
      </c>
      <c r="J80" s="81">
        <f t="shared" si="2"/>
        <v>3137</v>
      </c>
      <c r="K80" s="16">
        <f>IFERROR(Ohj.lask.[[#This Row],[Painotetut opiskelija-vuodet]]/Ohj.lask.[[#Totals],[Painotetut opiskelija-vuodet]],0)</f>
        <v>1.5319537122407847E-2</v>
      </c>
      <c r="L80" s="17">
        <f>ROUND(IFERROR('1.1 Jakotaulu'!L$11*Ohj.lask.[[#This Row],[%-osuus 1]],0),0)</f>
        <v>19294513</v>
      </c>
      <c r="M80" s="186">
        <f>IFERROR(ROUND(VLOOKUP($A80,'2.2 Tutk. ja osien pain. pist.'!$A:$Q,COLUMN('2.2 Tutk. ja osien pain. pist.'!P:P),FALSE),1),0)</f>
        <v>239274</v>
      </c>
      <c r="N80" s="16">
        <f>IFERROR(Ohj.lask.[[#This Row],[Painotetut pisteet 2]]/Ohj.lask.[[#Totals],[Painotetut pisteet 2]],0)</f>
        <v>1.5360447839925222E-2</v>
      </c>
      <c r="O80" s="23">
        <f>ROUND(IFERROR('1.1 Jakotaulu'!K$12*Ohj.lask.[[#This Row],[%-osuus 2]],0),0)</f>
        <v>5640080</v>
      </c>
      <c r="P80" s="187">
        <f>IFERROR(ROUND(VLOOKUP($A80,'2.3 Työll. ja jatko-opisk.'!$A:$K,COLUMN('2.3 Työll. ja jatko-opisk.'!I:I),FALSE),1),0)</f>
        <v>2826.3</v>
      </c>
      <c r="Q80" s="16">
        <f>IFERROR(Ohj.lask.[[#This Row],[Painotetut pisteet 3]]/Ohj.lask.[[#Totals],[Painotetut pisteet 3]],0)</f>
        <v>1.4200878391381098E-2</v>
      </c>
      <c r="R80" s="17">
        <f>ROUND(IFERROR('1.1 Jakotaulu'!L$14*Ohj.lask.[[#This Row],[%-osuus 3]],0),0)</f>
        <v>1955365</v>
      </c>
      <c r="S80" s="186">
        <f>IFERROR(ROUND(VLOOKUP($A80,'2.4 Aloittaneet palaute'!$A:$K,COLUMN('2.4 Aloittaneet palaute'!J:J),FALSE),1),0)</f>
        <v>21504.2</v>
      </c>
      <c r="T80" s="20">
        <f>IFERROR(Ohj.lask.[[#This Row],[Painotetut pisteet 4]]/Ohj.lask.[[#Totals],[Painotetut pisteet 4]],0)</f>
        <v>1.3064087489205246E-2</v>
      </c>
      <c r="U80" s="23">
        <f>ROUND(IFERROR('1.1 Jakotaulu'!M$16*Ohj.lask.[[#This Row],[%-osuus 4]],0),0)</f>
        <v>149903</v>
      </c>
      <c r="V80" s="81">
        <f>IFERROR(ROUND(VLOOKUP($A80,'2.5 Päättäneet palaute'!$A:$AC,COLUMN('2.5 Päättäneet palaute'!AB:AB),FALSE),1),0)</f>
        <v>152567.6</v>
      </c>
      <c r="W80" s="20">
        <f>IFERROR(Ohj.lask.[[#This Row],[Painotetut pisteet 5]]/Ohj.lask.[[#Totals],[Painotetut pisteet 5]],0)</f>
        <v>1.7696335797551387E-2</v>
      </c>
      <c r="X80" s="17">
        <f>ROUND(IFERROR('1.1 Jakotaulu'!M$17*Ohj.lask.[[#This Row],[%-osuus 5]],0),0)</f>
        <v>609167</v>
      </c>
      <c r="Y80" s="19">
        <f>IFERROR(Ohj.lask.[[#This Row],[Jaettava € 6]]/Ohj.lask.[[#Totals],[Jaettava € 6]],"")</f>
        <v>1.5273647012522719E-2</v>
      </c>
      <c r="Z80" s="23">
        <f>IFERROR(Ohj.lask.[[#This Row],[Jaettava € 1]]+Ohj.lask.[[#This Row],[Jaettava € 2]]+Ohj.lask.[[#This Row],[Jaettava € 3]]+Ohj.lask.[[#This Row],[Jaettava € 4]]+Ohj.lask.[[#This Row],[Jaettava € 5]],"")</f>
        <v>27649028</v>
      </c>
      <c r="AA80" s="17">
        <v>115000</v>
      </c>
      <c r="AB80" s="17">
        <v>0</v>
      </c>
      <c r="AC80" s="18">
        <v>0</v>
      </c>
      <c r="AD80" s="17">
        <v>0</v>
      </c>
      <c r="AE80" s="18">
        <v>0</v>
      </c>
      <c r="AF80" s="17">
        <v>0</v>
      </c>
      <c r="AG80" s="18">
        <v>0</v>
      </c>
      <c r="AH80" s="17">
        <v>0</v>
      </c>
      <c r="AI80" s="18">
        <v>60000</v>
      </c>
      <c r="AJ80" s="17">
        <v>0</v>
      </c>
      <c r="AK80" s="18">
        <v>0</v>
      </c>
      <c r="AL80" s="17">
        <v>0</v>
      </c>
      <c r="AM80" s="18">
        <v>40000</v>
      </c>
      <c r="AN80" s="23">
        <v>40000</v>
      </c>
      <c r="AO80" s="17">
        <v>0</v>
      </c>
      <c r="AP80" s="17">
        <v>0</v>
      </c>
      <c r="AQ80" s="18">
        <f>IFERROR(VLOOKUP(Ohj.lask.[[#This Row],[Y-tunnus]],#REF!,COLUMN(#REF!),FALSE),0)</f>
        <v>0</v>
      </c>
      <c r="AR80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40000</v>
      </c>
      <c r="AS80" s="17">
        <f>Ohj.lask.[[#This Row],[Jaettava € 1]]+Ohj.lask.[[#This Row],[Päätös, € 9]]</f>
        <v>19334513</v>
      </c>
      <c r="AT80" s="113">
        <f>Ohj.lask.[[#This Row],[Jaettava € 2]]</f>
        <v>5640080</v>
      </c>
      <c r="AU80" s="17">
        <f>Ohj.lask.[[#This Row],[Jaettava € 3]]+Ohj.lask.[[#This Row],[Jaettava € 4]]+Ohj.lask.[[#This Row],[Jaettava € 5]]</f>
        <v>2714435</v>
      </c>
      <c r="AV80" s="42">
        <f>Ohj.lask.[[#This Row],[Jaettava € 6]]+Ohj.lask.[[#This Row],[Päätös, € 9]]</f>
        <v>27689028</v>
      </c>
      <c r="AW80" s="42">
        <v>0</v>
      </c>
      <c r="AX80" s="23">
        <f>Ohj.lask.[[#This Row],[Perus-, suoritus- ja vaikuttavuusrahoitus yhteensä, €]]+Ohj.lask.[[#This Row],[Alv-korvaus, €]]</f>
        <v>27689028</v>
      </c>
    </row>
    <row r="81" spans="1:50" ht="12.75" x14ac:dyDescent="0.2">
      <c r="A81" s="134" t="s">
        <v>309</v>
      </c>
      <c r="B81" s="14" t="s">
        <v>82</v>
      </c>
      <c r="C81" s="14" t="s">
        <v>265</v>
      </c>
      <c r="D81" s="14" t="s">
        <v>392</v>
      </c>
      <c r="E81" s="14" t="s">
        <v>438</v>
      </c>
      <c r="F81" s="117">
        <v>4267</v>
      </c>
      <c r="G81" s="124">
        <f>Ohj.lask.[[#This Row],[Tavoitteelliset opiskelija-vuodet]]-Ohj.lask.[[#This Row],[Järjestämisluvan opisk.vuosien vähimmäismäärä]]</f>
        <v>547</v>
      </c>
      <c r="H81" s="41">
        <v>4814</v>
      </c>
      <c r="I81" s="15">
        <f>IFERROR(VLOOKUP($A81,'2.1 Toteut. op.vuodet'!$A:$T,COLUMN('2.1 Toteut. op.vuodet'!T:T),FALSE),0)</f>
        <v>1.0402767233973396</v>
      </c>
      <c r="J81" s="81">
        <f t="shared" si="2"/>
        <v>5007.8999999999996</v>
      </c>
      <c r="K81" s="16">
        <f>IFERROR(Ohj.lask.[[#This Row],[Painotetut opiskelija-vuodet]]/Ohj.lask.[[#Totals],[Painotetut opiskelija-vuodet]],0)</f>
        <v>2.4456075854417038E-2</v>
      </c>
      <c r="L81" s="17">
        <f>ROUND(IFERROR('1.1 Jakotaulu'!L$11*Ohj.lask.[[#This Row],[%-osuus 1]],0),0)</f>
        <v>30801718</v>
      </c>
      <c r="M81" s="186">
        <f>IFERROR(ROUND(VLOOKUP($A81,'2.2 Tutk. ja osien pain. pist.'!$A:$Q,COLUMN('2.2 Tutk. ja osien pain. pist.'!P:P),FALSE),1),0)</f>
        <v>372537.7</v>
      </c>
      <c r="N81" s="16">
        <f>IFERROR(Ohj.lask.[[#This Row],[Painotetut pisteet 2]]/Ohj.lask.[[#Totals],[Painotetut pisteet 2]],0)</f>
        <v>2.3915452198131473E-2</v>
      </c>
      <c r="O81" s="23">
        <f>ROUND(IFERROR('1.1 Jakotaulu'!K$12*Ohj.lask.[[#This Row],[%-osuus 2]],0),0)</f>
        <v>8781324</v>
      </c>
      <c r="P81" s="187">
        <f>IFERROR(ROUND(VLOOKUP($A81,'2.3 Työll. ja jatko-opisk.'!$A:$K,COLUMN('2.3 Työll. ja jatko-opisk.'!I:I),FALSE),1),0)</f>
        <v>5495.8</v>
      </c>
      <c r="Q81" s="16">
        <f>IFERROR(Ohj.lask.[[#This Row],[Painotetut pisteet 3]]/Ohj.lask.[[#Totals],[Painotetut pisteet 3]],0)</f>
        <v>2.7613907746294533E-2</v>
      </c>
      <c r="R81" s="17">
        <f>ROUND(IFERROR('1.1 Jakotaulu'!L$14*Ohj.lask.[[#This Row],[%-osuus 3]],0),0)</f>
        <v>3802249</v>
      </c>
      <c r="S81" s="186">
        <f>IFERROR(ROUND(VLOOKUP($A81,'2.4 Aloittaneet palaute'!$A:$K,COLUMN('2.4 Aloittaneet palaute'!J:J),FALSE),1),0)</f>
        <v>46999.3</v>
      </c>
      <c r="T81" s="20">
        <f>IFERROR(Ohj.lask.[[#This Row],[Painotetut pisteet 4]]/Ohj.lask.[[#Totals],[Painotetut pisteet 4]],0)</f>
        <v>2.8552699804289587E-2</v>
      </c>
      <c r="U81" s="23">
        <f>ROUND(IFERROR('1.1 Jakotaulu'!M$16*Ohj.lask.[[#This Row],[%-osuus 4]],0),0)</f>
        <v>327626</v>
      </c>
      <c r="V81" s="81">
        <f>IFERROR(ROUND(VLOOKUP($A81,'2.5 Päättäneet palaute'!$A:$AC,COLUMN('2.5 Päättäneet palaute'!AB:AB),FALSE),1),0)</f>
        <v>234263</v>
      </c>
      <c r="W81" s="20">
        <f>IFERROR(Ohj.lask.[[#This Row],[Painotetut pisteet 5]]/Ohj.lask.[[#Totals],[Painotetut pisteet 5]],0)</f>
        <v>2.7172195885245491E-2</v>
      </c>
      <c r="X81" s="17">
        <f>ROUND(IFERROR('1.1 Jakotaulu'!M$17*Ohj.lask.[[#This Row],[%-osuus 5]],0),0)</f>
        <v>935357</v>
      </c>
      <c r="Y81" s="19">
        <f>IFERROR(Ohj.lask.[[#This Row],[Jaettava € 6]]/Ohj.lask.[[#Totals],[Jaettava € 6]],"")</f>
        <v>2.4664229671813264E-2</v>
      </c>
      <c r="Z81" s="23">
        <f>IFERROR(Ohj.lask.[[#This Row],[Jaettava € 1]]+Ohj.lask.[[#This Row],[Jaettava € 2]]+Ohj.lask.[[#This Row],[Jaettava € 3]]+Ohj.lask.[[#This Row],[Jaettava € 4]]+Ohj.lask.[[#This Row],[Jaettava € 5]],"")</f>
        <v>44648274</v>
      </c>
      <c r="AA81" s="17">
        <v>100000</v>
      </c>
      <c r="AB81" s="17">
        <v>0</v>
      </c>
      <c r="AC81" s="18">
        <v>0</v>
      </c>
      <c r="AD81" s="17">
        <v>0</v>
      </c>
      <c r="AE81" s="18">
        <v>1000000</v>
      </c>
      <c r="AF81" s="17">
        <v>0</v>
      </c>
      <c r="AG81" s="18">
        <v>230433</v>
      </c>
      <c r="AH81" s="17">
        <v>0</v>
      </c>
      <c r="AI81" s="18">
        <v>150000</v>
      </c>
      <c r="AJ81" s="17">
        <v>55000</v>
      </c>
      <c r="AK81" s="18">
        <v>0</v>
      </c>
      <c r="AL81" s="17">
        <v>0</v>
      </c>
      <c r="AM81" s="18">
        <v>150000</v>
      </c>
      <c r="AN81" s="23">
        <v>100000</v>
      </c>
      <c r="AO81" s="17">
        <v>0</v>
      </c>
      <c r="AP81" s="17">
        <v>0</v>
      </c>
      <c r="AQ81" s="18">
        <f>IFERROR(VLOOKUP(Ohj.lask.[[#This Row],[Y-tunnus]],#REF!,COLUMN(#REF!),FALSE),0)</f>
        <v>0</v>
      </c>
      <c r="AR81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155000</v>
      </c>
      <c r="AS81" s="17">
        <f>Ohj.lask.[[#This Row],[Jaettava € 1]]+Ohj.lask.[[#This Row],[Päätös, € 9]]</f>
        <v>30956718</v>
      </c>
      <c r="AT81" s="113">
        <f>Ohj.lask.[[#This Row],[Jaettava € 2]]</f>
        <v>8781324</v>
      </c>
      <c r="AU81" s="17">
        <f>Ohj.lask.[[#This Row],[Jaettava € 3]]+Ohj.lask.[[#This Row],[Jaettava € 4]]+Ohj.lask.[[#This Row],[Jaettava € 5]]</f>
        <v>5065232</v>
      </c>
      <c r="AV81" s="42">
        <f>Ohj.lask.[[#This Row],[Jaettava € 6]]+Ohj.lask.[[#This Row],[Päätös, € 9]]</f>
        <v>44803274</v>
      </c>
      <c r="AW81" s="42">
        <v>2639079</v>
      </c>
      <c r="AX81" s="23">
        <f>Ohj.lask.[[#This Row],[Perus-, suoritus- ja vaikuttavuusrahoitus yhteensä, €]]+Ohj.lask.[[#This Row],[Alv-korvaus, €]]</f>
        <v>47442353</v>
      </c>
    </row>
    <row r="82" spans="1:50" ht="12.75" x14ac:dyDescent="0.2">
      <c r="A82" s="134" t="s">
        <v>307</v>
      </c>
      <c r="B82" s="14" t="s">
        <v>83</v>
      </c>
      <c r="C82" s="107" t="s">
        <v>216</v>
      </c>
      <c r="D82" s="107" t="s">
        <v>392</v>
      </c>
      <c r="E82" s="107" t="s">
        <v>438</v>
      </c>
      <c r="F82" s="116">
        <v>199</v>
      </c>
      <c r="G82" s="124">
        <f>Ohj.lask.[[#This Row],[Tavoitteelliset opiskelija-vuodet]]-Ohj.lask.[[#This Row],[Järjestämisluvan opisk.vuosien vähimmäismäärä]]</f>
        <v>20</v>
      </c>
      <c r="H82" s="41">
        <v>219</v>
      </c>
      <c r="I82" s="15">
        <f>IFERROR(VLOOKUP($A82,'2.1 Toteut. op.vuodet'!$A:$T,COLUMN('2.1 Toteut. op.vuodet'!T:T),FALSE),0)</f>
        <v>1.0193128652062962</v>
      </c>
      <c r="J82" s="81">
        <f t="shared" si="2"/>
        <v>223.2</v>
      </c>
      <c r="K82" s="16">
        <f>IFERROR(Ohj.lask.[[#This Row],[Painotetut opiskelija-vuodet]]/Ohj.lask.[[#Totals],[Painotetut opiskelija-vuodet]],0)</f>
        <v>1.0899970308324613E-3</v>
      </c>
      <c r="L82" s="17">
        <f>ROUND(IFERROR('1.1 Jakotaulu'!L$11*Ohj.lask.[[#This Row],[%-osuus 1]],0),0)</f>
        <v>1372820</v>
      </c>
      <c r="M82" s="186">
        <f>IFERROR(ROUND(VLOOKUP($A82,'2.2 Tutk. ja osien pain. pist.'!$A:$Q,COLUMN('2.2 Tutk. ja osien pain. pist.'!P:P),FALSE),1),0)</f>
        <v>17579.3</v>
      </c>
      <c r="N82" s="16">
        <f>IFERROR(Ohj.lask.[[#This Row],[Painotetut pisteet 2]]/Ohj.lask.[[#Totals],[Painotetut pisteet 2]],0)</f>
        <v>1.1285217813569275E-3</v>
      </c>
      <c r="O82" s="23">
        <f>ROUND(IFERROR('1.1 Jakotaulu'!K$12*Ohj.lask.[[#This Row],[%-osuus 2]],0),0)</f>
        <v>414373</v>
      </c>
      <c r="P82" s="187">
        <f>IFERROR(ROUND(VLOOKUP($A82,'2.3 Työll. ja jatko-opisk.'!$A:$K,COLUMN('2.3 Työll. ja jatko-opisk.'!I:I),FALSE),1),0)</f>
        <v>163.9</v>
      </c>
      <c r="Q82" s="20">
        <f>IFERROR(Ohj.lask.[[#This Row],[Painotetut pisteet 3]]/Ohj.lask.[[#Totals],[Painotetut pisteet 3]],0)</f>
        <v>8.2352332319547174E-4</v>
      </c>
      <c r="R82" s="17">
        <f>ROUND(IFERROR('1.1 Jakotaulu'!L$14*Ohj.lask.[[#This Row],[%-osuus 3]],0),0)</f>
        <v>113394</v>
      </c>
      <c r="S82" s="186">
        <f>IFERROR(ROUND(VLOOKUP($A82,'2.4 Aloittaneet palaute'!$A:$K,COLUMN('2.4 Aloittaneet palaute'!J:J),FALSE),1),0)</f>
        <v>1848.4</v>
      </c>
      <c r="T82" s="20">
        <f>IFERROR(Ohj.lask.[[#This Row],[Painotetut pisteet 4]]/Ohj.lask.[[#Totals],[Painotetut pisteet 4]],0)</f>
        <v>1.1229275822884357E-3</v>
      </c>
      <c r="U82" s="23">
        <f>ROUND(IFERROR('1.1 Jakotaulu'!M$16*Ohj.lask.[[#This Row],[%-osuus 4]],0),0)</f>
        <v>12885</v>
      </c>
      <c r="V82" s="81">
        <f>IFERROR(ROUND(VLOOKUP($A82,'2.5 Päättäneet palaute'!$A:$AC,COLUMN('2.5 Päättäneet palaute'!AB:AB),FALSE),1),0)</f>
        <v>3309.7</v>
      </c>
      <c r="W82" s="20">
        <f>IFERROR(Ohj.lask.[[#This Row],[Painotetut pisteet 5]]/Ohj.lask.[[#Totals],[Painotetut pisteet 5]],0)</f>
        <v>3.8389253412360037E-4</v>
      </c>
      <c r="X82" s="17">
        <f>ROUND(IFERROR('1.1 Jakotaulu'!M$17*Ohj.lask.[[#This Row],[%-osuus 5]],0),0)</f>
        <v>13215</v>
      </c>
      <c r="Y82" s="19">
        <f>IFERROR(Ohj.lask.[[#This Row],[Jaettava € 6]]/Ohj.lask.[[#Totals],[Jaettava € 6]],"")</f>
        <v>1.0643244725136941E-3</v>
      </c>
      <c r="Z82" s="23">
        <f>IFERROR(Ohj.lask.[[#This Row],[Jaettava € 1]]+Ohj.lask.[[#This Row],[Jaettava € 2]]+Ohj.lask.[[#This Row],[Jaettava € 3]]+Ohj.lask.[[#This Row],[Jaettava € 4]]+Ohj.lask.[[#This Row],[Jaettava € 5]],"")</f>
        <v>1926687</v>
      </c>
      <c r="AA82" s="17">
        <v>0</v>
      </c>
      <c r="AB82" s="17">
        <v>0</v>
      </c>
      <c r="AC82" s="18">
        <v>50000</v>
      </c>
      <c r="AD82" s="17">
        <v>0</v>
      </c>
      <c r="AE82" s="18">
        <v>0</v>
      </c>
      <c r="AF82" s="17">
        <v>0</v>
      </c>
      <c r="AG82" s="18">
        <v>31800</v>
      </c>
      <c r="AH82" s="17">
        <v>0</v>
      </c>
      <c r="AI82" s="18">
        <v>0</v>
      </c>
      <c r="AJ82" s="17">
        <v>0</v>
      </c>
      <c r="AK82" s="18">
        <v>0</v>
      </c>
      <c r="AL82" s="17">
        <v>0</v>
      </c>
      <c r="AM82" s="18">
        <v>0</v>
      </c>
      <c r="AN82" s="23">
        <v>0</v>
      </c>
      <c r="AO82" s="17">
        <v>0</v>
      </c>
      <c r="AP82" s="17">
        <v>0</v>
      </c>
      <c r="AQ82" s="18">
        <f>IFERROR(VLOOKUP(Ohj.lask.[[#This Row],[Y-tunnus]],#REF!,COLUMN(#REF!),FALSE),0)</f>
        <v>0</v>
      </c>
      <c r="AR82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82" s="17">
        <f>Ohj.lask.[[#This Row],[Jaettava € 1]]+Ohj.lask.[[#This Row],[Päätös, € 9]]</f>
        <v>1372820</v>
      </c>
      <c r="AT82" s="113">
        <f>Ohj.lask.[[#This Row],[Jaettava € 2]]</f>
        <v>414373</v>
      </c>
      <c r="AU82" s="17">
        <f>Ohj.lask.[[#This Row],[Jaettava € 3]]+Ohj.lask.[[#This Row],[Jaettava € 4]]+Ohj.lask.[[#This Row],[Jaettava € 5]]</f>
        <v>139494</v>
      </c>
      <c r="AV82" s="42">
        <f>Ohj.lask.[[#This Row],[Jaettava € 6]]+Ohj.lask.[[#This Row],[Päätös, € 9]]</f>
        <v>1926687</v>
      </c>
      <c r="AW82" s="42">
        <v>81672</v>
      </c>
      <c r="AX82" s="23">
        <f>Ohj.lask.[[#This Row],[Perus-, suoritus- ja vaikuttavuusrahoitus yhteensä, €]]+Ohj.lask.[[#This Row],[Alv-korvaus, €]]</f>
        <v>2008359</v>
      </c>
    </row>
    <row r="83" spans="1:50" ht="12.75" x14ac:dyDescent="0.2">
      <c r="A83" s="134" t="s">
        <v>303</v>
      </c>
      <c r="B83" s="14" t="s">
        <v>84</v>
      </c>
      <c r="C83" s="14" t="s">
        <v>216</v>
      </c>
      <c r="D83" s="14" t="s">
        <v>392</v>
      </c>
      <c r="E83" s="14" t="s">
        <v>438</v>
      </c>
      <c r="F83" s="117">
        <v>73</v>
      </c>
      <c r="G83" s="124">
        <f>Ohj.lask.[[#This Row],[Tavoitteelliset opiskelija-vuodet]]-Ohj.lask.[[#This Row],[Järjestämisluvan opisk.vuosien vähimmäismäärä]]</f>
        <v>3</v>
      </c>
      <c r="H83" s="41">
        <v>76</v>
      </c>
      <c r="I83" s="15">
        <f>IFERROR(VLOOKUP($A83,'2.1 Toteut. op.vuodet'!$A:$T,COLUMN('2.1 Toteut. op.vuodet'!T:T),FALSE),0)</f>
        <v>0.65846717548302425</v>
      </c>
      <c r="J83" s="81">
        <f t="shared" si="2"/>
        <v>50</v>
      </c>
      <c r="K83" s="16">
        <f>IFERROR(Ohj.lask.[[#This Row],[Painotetut opiskelija-vuodet]]/Ohj.lask.[[#Totals],[Painotetut opiskelija-vuodet]],0)</f>
        <v>2.4417496210404601E-4</v>
      </c>
      <c r="L83" s="17">
        <f>ROUND(IFERROR('1.1 Jakotaulu'!L$11*Ohj.lask.[[#This Row],[%-osuus 1]],0),0)</f>
        <v>307531</v>
      </c>
      <c r="M83" s="186">
        <f>IFERROR(ROUND(VLOOKUP($A83,'2.2 Tutk. ja osien pain. pist.'!$A:$Q,COLUMN('2.2 Tutk. ja osien pain. pist.'!P:P),FALSE),1),0)</f>
        <v>4887.8999999999996</v>
      </c>
      <c r="N83" s="16">
        <f>IFERROR(Ohj.lask.[[#This Row],[Painotetut pisteet 2]]/Ohj.lask.[[#Totals],[Painotetut pisteet 2]],0)</f>
        <v>3.1378391716931422E-4</v>
      </c>
      <c r="O83" s="23">
        <f>ROUND(IFERROR('1.1 Jakotaulu'!K$12*Ohj.lask.[[#This Row],[%-osuus 2]],0),0)</f>
        <v>115216</v>
      </c>
      <c r="P83" s="187">
        <f>IFERROR(ROUND(VLOOKUP($A83,'2.3 Työll. ja jatko-opisk.'!$A:$K,COLUMN('2.3 Työll. ja jatko-opisk.'!I:I),FALSE),1),0)</f>
        <v>139.19999999999999</v>
      </c>
      <c r="Q83" s="16">
        <f>IFERROR(Ohj.lask.[[#This Row],[Painotetut pisteet 3]]/Ohj.lask.[[#Totals],[Painotetut pisteet 3]],0)</f>
        <v>6.9941700176210893E-4</v>
      </c>
      <c r="R83" s="17">
        <f>ROUND(IFERROR('1.1 Jakotaulu'!L$14*Ohj.lask.[[#This Row],[%-osuus 3]],0),0)</f>
        <v>96305</v>
      </c>
      <c r="S83" s="186">
        <f>IFERROR(ROUND(VLOOKUP($A83,'2.4 Aloittaneet palaute'!$A:$K,COLUMN('2.4 Aloittaneet palaute'!J:J),FALSE),1),0)</f>
        <v>1297.0999999999999</v>
      </c>
      <c r="T83" s="20">
        <f>IFERROR(Ohj.lask.[[#This Row],[Painotetut pisteet 4]]/Ohj.lask.[[#Totals],[Painotetut pisteet 4]],0)</f>
        <v>7.88005500425411E-4</v>
      </c>
      <c r="U83" s="23">
        <f>ROUND(IFERROR('1.1 Jakotaulu'!M$16*Ohj.lask.[[#This Row],[%-osuus 4]],0),0)</f>
        <v>9042</v>
      </c>
      <c r="V83" s="81">
        <f>IFERROR(ROUND(VLOOKUP($A83,'2.5 Päättäneet palaute'!$A:$AC,COLUMN('2.5 Päättäneet palaute'!AB:AB),FALSE),1),0)</f>
        <v>13879</v>
      </c>
      <c r="W83" s="20">
        <f>IFERROR(Ohj.lask.[[#This Row],[Painotetut pisteet 5]]/Ohj.lask.[[#Totals],[Painotetut pisteet 5]],0)</f>
        <v>1.6098270178872558E-3</v>
      </c>
      <c r="X83" s="17">
        <f>ROUND(IFERROR('1.1 Jakotaulu'!M$17*Ohj.lask.[[#This Row],[%-osuus 5]],0),0)</f>
        <v>55416</v>
      </c>
      <c r="Y83" s="19">
        <f>IFERROR(Ohj.lask.[[#This Row],[Jaettava € 6]]/Ohj.lask.[[#Totals],[Jaettava € 6]],"")</f>
        <v>3.2233776059965407E-4</v>
      </c>
      <c r="Z83" s="23">
        <f>IFERROR(Ohj.lask.[[#This Row],[Jaettava € 1]]+Ohj.lask.[[#This Row],[Jaettava € 2]]+Ohj.lask.[[#This Row],[Jaettava € 3]]+Ohj.lask.[[#This Row],[Jaettava € 4]]+Ohj.lask.[[#This Row],[Jaettava € 5]],"")</f>
        <v>583510</v>
      </c>
      <c r="AA83" s="17">
        <v>0</v>
      </c>
      <c r="AB83" s="17">
        <v>0</v>
      </c>
      <c r="AC83" s="18">
        <v>0</v>
      </c>
      <c r="AD83" s="17">
        <v>0</v>
      </c>
      <c r="AE83" s="18">
        <v>0</v>
      </c>
      <c r="AF83" s="17">
        <v>0</v>
      </c>
      <c r="AG83" s="18">
        <v>0</v>
      </c>
      <c r="AH83" s="17">
        <v>0</v>
      </c>
      <c r="AI83" s="18">
        <v>0</v>
      </c>
      <c r="AJ83" s="17">
        <v>0</v>
      </c>
      <c r="AK83" s="18">
        <v>0</v>
      </c>
      <c r="AL83" s="17">
        <v>0</v>
      </c>
      <c r="AM83" s="18">
        <v>10000</v>
      </c>
      <c r="AN83" s="23">
        <v>10000</v>
      </c>
      <c r="AO83" s="17">
        <v>0</v>
      </c>
      <c r="AP83" s="17">
        <v>0</v>
      </c>
      <c r="AQ83" s="18">
        <f>IFERROR(VLOOKUP(Ohj.lask.[[#This Row],[Y-tunnus]],#REF!,COLUMN(#REF!),FALSE),0)</f>
        <v>0</v>
      </c>
      <c r="AR83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10000</v>
      </c>
      <c r="AS83" s="17">
        <f>Ohj.lask.[[#This Row],[Jaettava € 1]]+Ohj.lask.[[#This Row],[Päätös, € 9]]</f>
        <v>317531</v>
      </c>
      <c r="AT83" s="113">
        <f>Ohj.lask.[[#This Row],[Jaettava € 2]]</f>
        <v>115216</v>
      </c>
      <c r="AU83" s="17">
        <f>Ohj.lask.[[#This Row],[Jaettava € 3]]+Ohj.lask.[[#This Row],[Jaettava € 4]]+Ohj.lask.[[#This Row],[Jaettava € 5]]</f>
        <v>160763</v>
      </c>
      <c r="AV83" s="42">
        <f>Ohj.lask.[[#This Row],[Jaettava € 6]]+Ohj.lask.[[#This Row],[Päätös, € 9]]</f>
        <v>593510</v>
      </c>
      <c r="AW83" s="42">
        <v>156667</v>
      </c>
      <c r="AX83" s="23">
        <f>Ohj.lask.[[#This Row],[Perus-, suoritus- ja vaikuttavuusrahoitus yhteensä, €]]+Ohj.lask.[[#This Row],[Alv-korvaus, €]]</f>
        <v>750177</v>
      </c>
    </row>
    <row r="84" spans="1:50" ht="12.75" x14ac:dyDescent="0.2">
      <c r="A84" s="134" t="s">
        <v>305</v>
      </c>
      <c r="B84" s="14" t="s">
        <v>86</v>
      </c>
      <c r="C84" s="107" t="s">
        <v>224</v>
      </c>
      <c r="D84" s="107" t="s">
        <v>392</v>
      </c>
      <c r="E84" s="107" t="s">
        <v>438</v>
      </c>
      <c r="F84" s="116">
        <v>153</v>
      </c>
      <c r="G84" s="124">
        <f>Ohj.lask.[[#This Row],[Tavoitteelliset opiskelija-vuodet]]-Ohj.lask.[[#This Row],[Järjestämisluvan opisk.vuosien vähimmäismäärä]]</f>
        <v>56</v>
      </c>
      <c r="H84" s="41">
        <v>209</v>
      </c>
      <c r="I84" s="15">
        <f>IFERROR(VLOOKUP($A84,'2.1 Toteut. op.vuodet'!$A:$T,COLUMN('2.1 Toteut. op.vuodet'!T:T),FALSE),0)</f>
        <v>1.0005328582288173</v>
      </c>
      <c r="J84" s="81">
        <f t="shared" si="2"/>
        <v>209.1</v>
      </c>
      <c r="K84" s="16">
        <f>IFERROR(Ohj.lask.[[#This Row],[Painotetut opiskelija-vuodet]]/Ohj.lask.[[#Totals],[Painotetut opiskelija-vuodet]],0)</f>
        <v>1.0211396915191203E-3</v>
      </c>
      <c r="L84" s="17">
        <f>ROUND(IFERROR('1.1 Jakotaulu'!L$11*Ohj.lask.[[#This Row],[%-osuus 1]],0),0)</f>
        <v>1286096</v>
      </c>
      <c r="M84" s="186">
        <f>IFERROR(ROUND(VLOOKUP($A84,'2.2 Tutk. ja osien pain. pist.'!$A:$Q,COLUMN('2.2 Tutk. ja osien pain. pist.'!P:P),FALSE),1),0)</f>
        <v>21354.3</v>
      </c>
      <c r="N84" s="16">
        <f>IFERROR(Ohj.lask.[[#This Row],[Painotetut pisteet 2]]/Ohj.lask.[[#Totals],[Painotetut pisteet 2]],0)</f>
        <v>1.3708619043778895E-3</v>
      </c>
      <c r="O84" s="23">
        <f>ROUND(IFERROR('1.1 Jakotaulu'!K$12*Ohj.lask.[[#This Row],[%-osuus 2]],0),0)</f>
        <v>503356</v>
      </c>
      <c r="P84" s="187">
        <f>IFERROR(ROUND(VLOOKUP($A84,'2.3 Työll. ja jatko-opisk.'!$A:$K,COLUMN('2.3 Työll. ja jatko-opisk.'!I:I),FALSE),1),0)</f>
        <v>312.39999999999998</v>
      </c>
      <c r="Q84" s="20">
        <f>IFERROR(Ohj.lask.[[#This Row],[Painotetut pisteet 3]]/Ohj.lask.[[#Totals],[Painotetut pisteet 3]],0)</f>
        <v>1.5696686160235837E-3</v>
      </c>
      <c r="R84" s="17">
        <f>ROUND(IFERROR('1.1 Jakotaulu'!L$14*Ohj.lask.[[#This Row],[%-osuus 3]],0),0)</f>
        <v>216133</v>
      </c>
      <c r="S84" s="186">
        <f>IFERROR(ROUND(VLOOKUP($A84,'2.4 Aloittaneet palaute'!$A:$K,COLUMN('2.4 Aloittaneet palaute'!J:J),FALSE),1),0)</f>
        <v>2321.8000000000002</v>
      </c>
      <c r="T84" s="20">
        <f>IFERROR(Ohj.lask.[[#This Row],[Painotetut pisteet 4]]/Ohj.lask.[[#Totals],[Painotetut pisteet 4]],0)</f>
        <v>1.4105243781417929E-3</v>
      </c>
      <c r="U84" s="23">
        <f>ROUND(IFERROR('1.1 Jakotaulu'!M$16*Ohj.lask.[[#This Row],[%-osuus 4]],0),0)</f>
        <v>16185</v>
      </c>
      <c r="V84" s="81">
        <f>IFERROR(ROUND(VLOOKUP($A84,'2.5 Päättäneet palaute'!$A:$AC,COLUMN('2.5 Päättäneet palaute'!AB:AB),FALSE),1),0)</f>
        <v>15455</v>
      </c>
      <c r="W84" s="20">
        <f>IFERROR(Ohj.lask.[[#This Row],[Painotetut pisteet 5]]/Ohj.lask.[[#Totals],[Painotetut pisteet 5]],0)</f>
        <v>1.7926274631780055E-3</v>
      </c>
      <c r="X84" s="17">
        <f>ROUND(IFERROR('1.1 Jakotaulu'!M$17*Ohj.lask.[[#This Row],[%-osuus 5]],0),0)</f>
        <v>61708</v>
      </c>
      <c r="Y84" s="19">
        <f>IFERROR(Ohj.lask.[[#This Row],[Jaettava € 6]]/Ohj.lask.[[#Totals],[Jaettava € 6]],"")</f>
        <v>1.1509376579298487E-3</v>
      </c>
      <c r="Z84" s="23">
        <f>IFERROR(Ohj.lask.[[#This Row],[Jaettava € 1]]+Ohj.lask.[[#This Row],[Jaettava € 2]]+Ohj.lask.[[#This Row],[Jaettava € 3]]+Ohj.lask.[[#This Row],[Jaettava € 4]]+Ohj.lask.[[#This Row],[Jaettava € 5]],"")</f>
        <v>2083478</v>
      </c>
      <c r="AA84" s="17">
        <v>0</v>
      </c>
      <c r="AB84" s="17">
        <v>0</v>
      </c>
      <c r="AC84" s="18">
        <v>0</v>
      </c>
      <c r="AD84" s="17">
        <v>0</v>
      </c>
      <c r="AE84" s="18">
        <v>0</v>
      </c>
      <c r="AF84" s="17">
        <v>0</v>
      </c>
      <c r="AG84" s="18">
        <v>0</v>
      </c>
      <c r="AH84" s="17">
        <v>0</v>
      </c>
      <c r="AI84" s="18">
        <v>0</v>
      </c>
      <c r="AJ84" s="17">
        <v>0</v>
      </c>
      <c r="AK84" s="18">
        <v>20000</v>
      </c>
      <c r="AL84" s="17">
        <v>0</v>
      </c>
      <c r="AM84" s="18">
        <v>35000</v>
      </c>
      <c r="AN84" s="23">
        <v>25000</v>
      </c>
      <c r="AO84" s="17">
        <v>0</v>
      </c>
      <c r="AP84" s="17">
        <v>0</v>
      </c>
      <c r="AQ84" s="18">
        <f>IFERROR(VLOOKUP(Ohj.lask.[[#This Row],[Y-tunnus]],#REF!,COLUMN(#REF!),FALSE),0)</f>
        <v>0</v>
      </c>
      <c r="AR84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25000</v>
      </c>
      <c r="AS84" s="17">
        <f>Ohj.lask.[[#This Row],[Jaettava € 1]]+Ohj.lask.[[#This Row],[Päätös, € 9]]</f>
        <v>1311096</v>
      </c>
      <c r="AT84" s="113">
        <f>Ohj.lask.[[#This Row],[Jaettava € 2]]</f>
        <v>503356</v>
      </c>
      <c r="AU84" s="17">
        <f>Ohj.lask.[[#This Row],[Jaettava € 3]]+Ohj.lask.[[#This Row],[Jaettava € 4]]+Ohj.lask.[[#This Row],[Jaettava € 5]]</f>
        <v>294026</v>
      </c>
      <c r="AV84" s="42">
        <f>Ohj.lask.[[#This Row],[Jaettava € 6]]+Ohj.lask.[[#This Row],[Päätös, € 9]]</f>
        <v>2108478</v>
      </c>
      <c r="AW84" s="42">
        <v>90628</v>
      </c>
      <c r="AX84" s="23">
        <f>Ohj.lask.[[#This Row],[Perus-, suoritus- ja vaikuttavuusrahoitus yhteensä, €]]+Ohj.lask.[[#This Row],[Alv-korvaus, €]]</f>
        <v>2199106</v>
      </c>
    </row>
    <row r="85" spans="1:50" ht="12.75" x14ac:dyDescent="0.2">
      <c r="A85" s="134" t="s">
        <v>342</v>
      </c>
      <c r="B85" s="14" t="s">
        <v>532</v>
      </c>
      <c r="C85" s="14" t="s">
        <v>216</v>
      </c>
      <c r="D85" s="14" t="s">
        <v>392</v>
      </c>
      <c r="E85" s="14" t="s">
        <v>438</v>
      </c>
      <c r="F85" s="117">
        <v>664</v>
      </c>
      <c r="G85" s="124">
        <f>Ohj.lask.[[#This Row],[Tavoitteelliset opiskelija-vuodet]]-Ohj.lask.[[#This Row],[Järjestämisluvan opisk.vuosien vähimmäismäärä]]</f>
        <v>136</v>
      </c>
      <c r="H85" s="41">
        <v>800</v>
      </c>
      <c r="I85" s="15">
        <f>IFERROR(VLOOKUP($A85,'2.1 Toteut. op.vuodet'!$A:$T,COLUMN('2.1 Toteut. op.vuodet'!T:T),FALSE),0)</f>
        <v>0.69785723844900616</v>
      </c>
      <c r="J85" s="81">
        <f t="shared" si="2"/>
        <v>558.29999999999995</v>
      </c>
      <c r="K85" s="16">
        <f>IFERROR(Ohj.lask.[[#This Row],[Painotetut opiskelija-vuodet]]/Ohj.lask.[[#Totals],[Painotetut opiskelija-vuodet]],0)</f>
        <v>2.7264576268537775E-3</v>
      </c>
      <c r="L85" s="17">
        <f>ROUND(IFERROR('1.1 Jakotaulu'!L$11*Ohj.lask.[[#This Row],[%-osuus 1]],0),0)</f>
        <v>3433894</v>
      </c>
      <c r="M85" s="186">
        <f>IFERROR(ROUND(VLOOKUP($A85,'2.2 Tutk. ja osien pain. pist.'!$A:$Q,COLUMN('2.2 Tutk. ja osien pain. pist.'!P:P),FALSE),1),0)</f>
        <v>61690</v>
      </c>
      <c r="N85" s="16">
        <f>IFERROR(Ohj.lask.[[#This Row],[Painotetut pisteet 2]]/Ohj.lask.[[#Totals],[Painotetut pisteet 2]],0)</f>
        <v>3.9602548845465322E-3</v>
      </c>
      <c r="O85" s="23">
        <f>ROUND(IFERROR('1.1 Jakotaulu'!K$12*Ohj.lask.[[#This Row],[%-osuus 2]],0),0)</f>
        <v>1454134</v>
      </c>
      <c r="P85" s="187">
        <f>IFERROR(ROUND(VLOOKUP($A85,'2.3 Työll. ja jatko-opisk.'!$A:$K,COLUMN('2.3 Työll. ja jatko-opisk.'!I:I),FALSE),1),0)</f>
        <v>885.7</v>
      </c>
      <c r="Q85" s="16">
        <f>IFERROR(Ohj.lask.[[#This Row],[Painotetut pisteet 3]]/Ohj.lask.[[#Totals],[Painotetut pisteet 3]],0)</f>
        <v>4.450241655608477E-3</v>
      </c>
      <c r="R85" s="17">
        <f>ROUND(IFERROR('1.1 Jakotaulu'!L$14*Ohj.lask.[[#This Row],[%-osuus 3]],0),0)</f>
        <v>612768</v>
      </c>
      <c r="S85" s="186">
        <f>IFERROR(ROUND(VLOOKUP($A85,'2.4 Aloittaneet palaute'!$A:$K,COLUMN('2.4 Aloittaneet palaute'!J:J),FALSE),1),0)</f>
        <v>8692.7999999999993</v>
      </c>
      <c r="T85" s="20">
        <f>IFERROR(Ohj.lask.[[#This Row],[Painotetut pisteet 4]]/Ohj.lask.[[#Totals],[Painotetut pisteet 4]],0)</f>
        <v>5.2809916075075266E-3</v>
      </c>
      <c r="U85" s="23">
        <f>ROUND(IFERROR('1.1 Jakotaulu'!M$16*Ohj.lask.[[#This Row],[%-osuus 4]],0),0)</f>
        <v>60596</v>
      </c>
      <c r="V85" s="81">
        <f>IFERROR(ROUND(VLOOKUP($A85,'2.5 Päättäneet palaute'!$A:$AC,COLUMN('2.5 Päättäneet palaute'!AB:AB),FALSE),1),0)</f>
        <v>56177.9</v>
      </c>
      <c r="W85" s="20">
        <f>IFERROR(Ohj.lask.[[#This Row],[Painotetut pisteet 5]]/Ohj.lask.[[#Totals],[Painotetut pisteet 5]],0)</f>
        <v>6.5160819387685325E-3</v>
      </c>
      <c r="X85" s="17">
        <f>ROUND(IFERROR('1.1 Jakotaulu'!M$17*Ohj.lask.[[#This Row],[%-osuus 5]],0),0)</f>
        <v>224305</v>
      </c>
      <c r="Y85" s="19">
        <f>IFERROR(Ohj.lask.[[#This Row],[Jaettava € 6]]/Ohj.lask.[[#Totals],[Jaettava € 6]],"")</f>
        <v>3.1960868099743561E-3</v>
      </c>
      <c r="Z85" s="23">
        <f>IFERROR(Ohj.lask.[[#This Row],[Jaettava € 1]]+Ohj.lask.[[#This Row],[Jaettava € 2]]+Ohj.lask.[[#This Row],[Jaettava € 3]]+Ohj.lask.[[#This Row],[Jaettava € 4]]+Ohj.lask.[[#This Row],[Jaettava € 5]],"")</f>
        <v>5785697</v>
      </c>
      <c r="AA85" s="17">
        <v>0</v>
      </c>
      <c r="AB85" s="17">
        <v>0</v>
      </c>
      <c r="AC85" s="18">
        <v>0</v>
      </c>
      <c r="AD85" s="17">
        <v>0</v>
      </c>
      <c r="AE85" s="18">
        <v>0</v>
      </c>
      <c r="AF85" s="17">
        <v>0</v>
      </c>
      <c r="AG85" s="18">
        <v>0</v>
      </c>
      <c r="AH85" s="17">
        <v>0</v>
      </c>
      <c r="AI85" s="18">
        <v>0</v>
      </c>
      <c r="AJ85" s="17">
        <v>0</v>
      </c>
      <c r="AK85" s="18">
        <v>230000</v>
      </c>
      <c r="AL85" s="17">
        <v>0</v>
      </c>
      <c r="AM85" s="18">
        <v>60000</v>
      </c>
      <c r="AN85" s="23">
        <v>60000</v>
      </c>
      <c r="AO85" s="17">
        <v>0</v>
      </c>
      <c r="AP85" s="17">
        <v>0</v>
      </c>
      <c r="AQ85" s="18">
        <f>IFERROR(VLOOKUP(Ohj.lask.[[#This Row],[Y-tunnus]],#REF!,COLUMN(#REF!),FALSE),0)</f>
        <v>0</v>
      </c>
      <c r="AR85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60000</v>
      </c>
      <c r="AS85" s="17">
        <f>Ohj.lask.[[#This Row],[Jaettava € 1]]+Ohj.lask.[[#This Row],[Päätös, € 9]]</f>
        <v>3493894</v>
      </c>
      <c r="AT85" s="113">
        <f>Ohj.lask.[[#This Row],[Jaettava € 2]]</f>
        <v>1454134</v>
      </c>
      <c r="AU85" s="17">
        <f>Ohj.lask.[[#This Row],[Jaettava € 3]]+Ohj.lask.[[#This Row],[Jaettava € 4]]+Ohj.lask.[[#This Row],[Jaettava € 5]]</f>
        <v>897669</v>
      </c>
      <c r="AV85" s="42">
        <f>Ohj.lask.[[#This Row],[Jaettava € 6]]+Ohj.lask.[[#This Row],[Päätös, € 9]]</f>
        <v>5845697</v>
      </c>
      <c r="AW85" s="42">
        <v>261025</v>
      </c>
      <c r="AX85" s="23">
        <f>Ohj.lask.[[#This Row],[Perus-, suoritus- ja vaikuttavuusrahoitus yhteensä, €]]+Ohj.lask.[[#This Row],[Alv-korvaus, €]]</f>
        <v>6106722</v>
      </c>
    </row>
    <row r="86" spans="1:50" ht="12.75" x14ac:dyDescent="0.2">
      <c r="A86" s="134" t="s">
        <v>304</v>
      </c>
      <c r="B86" s="14" t="s">
        <v>165</v>
      </c>
      <c r="C86" s="14" t="s">
        <v>232</v>
      </c>
      <c r="D86" s="14" t="s">
        <v>392</v>
      </c>
      <c r="E86" s="14" t="s">
        <v>438</v>
      </c>
      <c r="F86" s="117">
        <v>0</v>
      </c>
      <c r="G86" s="124">
        <f>Ohj.lask.[[#This Row],[Tavoitteelliset opiskelija-vuodet]]-Ohj.lask.[[#This Row],[Järjestämisluvan opisk.vuosien vähimmäismäärä]]</f>
        <v>0</v>
      </c>
      <c r="H86" s="41">
        <v>0</v>
      </c>
      <c r="I86" s="15">
        <f>IFERROR(VLOOKUP($A86,'2.1 Toteut. op.vuodet'!$A:$T,COLUMN('2.1 Toteut. op.vuodet'!T:T),FALSE),0)</f>
        <v>0.87091531804249533</v>
      </c>
      <c r="J86" s="81">
        <f t="shared" si="2"/>
        <v>0</v>
      </c>
      <c r="K86" s="16">
        <f>IFERROR(Ohj.lask.[[#This Row],[Painotetut opiskelija-vuodet]]/Ohj.lask.[[#Totals],[Painotetut opiskelija-vuodet]],0)</f>
        <v>0</v>
      </c>
      <c r="L86" s="17">
        <f>ROUND(IFERROR('1.1 Jakotaulu'!L$11*Ohj.lask.[[#This Row],[%-osuus 1]],0),0)</f>
        <v>0</v>
      </c>
      <c r="M86" s="186">
        <f>IFERROR(ROUND(VLOOKUP($A86,'2.2 Tutk. ja osien pain. pist.'!$A:$Q,COLUMN('2.2 Tutk. ja osien pain. pist.'!P:P),FALSE),1),0)</f>
        <v>471.5</v>
      </c>
      <c r="N86" s="16">
        <f>IFERROR(Ohj.lask.[[#This Row],[Painotetut pisteet 2]]/Ohj.lask.[[#Totals],[Painotetut pisteet 2]],0)</f>
        <v>3.0268441855465877E-5</v>
      </c>
      <c r="O86" s="23">
        <f>ROUND(IFERROR('1.1 Jakotaulu'!K$12*Ohj.lask.[[#This Row],[%-osuus 2]],0),0)</f>
        <v>11114</v>
      </c>
      <c r="P86" s="187">
        <f>IFERROR(ROUND(VLOOKUP($A86,'2.3 Työll. ja jatko-opisk.'!$A:$K,COLUMN('2.3 Työll. ja jatko-opisk.'!I:I),FALSE),1),0)</f>
        <v>0</v>
      </c>
      <c r="Q86" s="16">
        <f>IFERROR(Ohj.lask.[[#This Row],[Painotetut pisteet 3]]/Ohj.lask.[[#Totals],[Painotetut pisteet 3]],0)</f>
        <v>0</v>
      </c>
      <c r="R86" s="17">
        <f>ROUND(IFERROR('1.1 Jakotaulu'!L$14*Ohj.lask.[[#This Row],[%-osuus 3]],0),0)</f>
        <v>0</v>
      </c>
      <c r="S86" s="186">
        <f>IFERROR(ROUND(VLOOKUP($A86,'2.4 Aloittaneet palaute'!$A:$K,COLUMN('2.4 Aloittaneet palaute'!J:J),FALSE),1),0)</f>
        <v>120.2</v>
      </c>
      <c r="T86" s="20">
        <f>IFERROR(Ohj.lask.[[#This Row],[Painotetut pisteet 4]]/Ohj.lask.[[#Totals],[Painotetut pisteet 4]],0)</f>
        <v>7.302309856690649E-5</v>
      </c>
      <c r="U86" s="23">
        <f>ROUND(IFERROR('1.1 Jakotaulu'!M$16*Ohj.lask.[[#This Row],[%-osuus 4]],0),0)</f>
        <v>838</v>
      </c>
      <c r="V86" s="81">
        <f>IFERROR(ROUND(VLOOKUP($A86,'2.5 Päättäneet palaute'!$A:$AC,COLUMN('2.5 Päättäneet palaute'!AB:AB),FALSE),1),0)</f>
        <v>1398</v>
      </c>
      <c r="W86" s="20">
        <f>IFERROR(Ohj.lask.[[#This Row],[Painotetut pisteet 5]]/Ohj.lask.[[#Totals],[Painotetut pisteet 5]],0)</f>
        <v>1.621542021043579E-4</v>
      </c>
      <c r="X86" s="17">
        <f>ROUND(IFERROR('1.1 Jakotaulu'!M$17*Ohj.lask.[[#This Row],[%-osuus 5]],0),0)</f>
        <v>5582</v>
      </c>
      <c r="Y86" s="19">
        <f>IFERROR(Ohj.lask.[[#This Row],[Jaettava € 6]]/Ohj.lask.[[#Totals],[Jaettava € 6]],"")</f>
        <v>9.6859870342484859E-6</v>
      </c>
      <c r="Z86" s="23">
        <f>IFERROR(Ohj.lask.[[#This Row],[Jaettava € 1]]+Ohj.lask.[[#This Row],[Jaettava € 2]]+Ohj.lask.[[#This Row],[Jaettava € 3]]+Ohj.lask.[[#This Row],[Jaettava € 4]]+Ohj.lask.[[#This Row],[Jaettava € 5]],"")</f>
        <v>17534</v>
      </c>
      <c r="AA86" s="17">
        <v>0</v>
      </c>
      <c r="AB86" s="17">
        <v>0</v>
      </c>
      <c r="AC86" s="18">
        <v>0</v>
      </c>
      <c r="AD86" s="17">
        <v>0</v>
      </c>
      <c r="AE86" s="18">
        <v>0</v>
      </c>
      <c r="AF86" s="17">
        <v>0</v>
      </c>
      <c r="AG86" s="18">
        <v>0</v>
      </c>
      <c r="AH86" s="17">
        <v>0</v>
      </c>
      <c r="AI86" s="18">
        <v>0</v>
      </c>
      <c r="AJ86" s="17">
        <v>0</v>
      </c>
      <c r="AK86" s="18">
        <v>0</v>
      </c>
      <c r="AL86" s="17">
        <v>0</v>
      </c>
      <c r="AM86" s="18">
        <v>0</v>
      </c>
      <c r="AN86" s="23">
        <v>0</v>
      </c>
      <c r="AO86" s="17">
        <v>0</v>
      </c>
      <c r="AP86" s="17">
        <v>0</v>
      </c>
      <c r="AQ86" s="18">
        <f>IFERROR(VLOOKUP(Ohj.lask.[[#This Row],[Y-tunnus]],#REF!,COLUMN(#REF!),FALSE),0)</f>
        <v>0</v>
      </c>
      <c r="AR86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86" s="17">
        <f>Ohj.lask.[[#This Row],[Jaettava € 1]]+Ohj.lask.[[#This Row],[Päätös, € 9]]</f>
        <v>0</v>
      </c>
      <c r="AT86" s="113">
        <f>Ohj.lask.[[#This Row],[Jaettava € 2]]</f>
        <v>11114</v>
      </c>
      <c r="AU86" s="17">
        <f>Ohj.lask.[[#This Row],[Jaettava € 3]]+Ohj.lask.[[#This Row],[Jaettava € 4]]+Ohj.lask.[[#This Row],[Jaettava € 5]]</f>
        <v>6420</v>
      </c>
      <c r="AV86" s="42">
        <f>Ohj.lask.[[#This Row],[Jaettava € 6]]+Ohj.lask.[[#This Row],[Päätös, € 9]]</f>
        <v>17534</v>
      </c>
      <c r="AW86" s="42">
        <v>0</v>
      </c>
      <c r="AX86" s="23">
        <f>Ohj.lask.[[#This Row],[Perus-, suoritus- ja vaikuttavuusrahoitus yhteensä, €]]+Ohj.lask.[[#This Row],[Alv-korvaus, €]]</f>
        <v>17534</v>
      </c>
    </row>
    <row r="87" spans="1:50" ht="12.75" x14ac:dyDescent="0.2">
      <c r="A87" s="134" t="s">
        <v>301</v>
      </c>
      <c r="B87" s="14" t="s">
        <v>183</v>
      </c>
      <c r="C87" s="14" t="s">
        <v>216</v>
      </c>
      <c r="D87" s="14" t="s">
        <v>392</v>
      </c>
      <c r="E87" s="14" t="s">
        <v>438</v>
      </c>
      <c r="F87" s="117">
        <v>0</v>
      </c>
      <c r="G87" s="124">
        <f>Ohj.lask.[[#This Row],[Tavoitteelliset opiskelija-vuodet]]-Ohj.lask.[[#This Row],[Järjestämisluvan opisk.vuosien vähimmäismäärä]]</f>
        <v>0</v>
      </c>
      <c r="H87" s="41">
        <v>0</v>
      </c>
      <c r="I87" s="15">
        <f>IFERROR(VLOOKUP($A87,'2.1 Toteut. op.vuodet'!$A:$T,COLUMN('2.1 Toteut. op.vuodet'!T:T),FALSE),0)</f>
        <v>0.42999999999998134</v>
      </c>
      <c r="J87" s="81">
        <f t="shared" si="2"/>
        <v>0</v>
      </c>
      <c r="K87" s="16">
        <f>IFERROR(Ohj.lask.[[#This Row],[Painotetut opiskelija-vuodet]]/Ohj.lask.[[#Totals],[Painotetut opiskelija-vuodet]],0)</f>
        <v>0</v>
      </c>
      <c r="L87" s="17">
        <f>ROUND(IFERROR('1.1 Jakotaulu'!L$11*Ohj.lask.[[#This Row],[%-osuus 1]],0),0)</f>
        <v>0</v>
      </c>
      <c r="M87" s="186">
        <f>IFERROR(ROUND(VLOOKUP($A87,'2.2 Tutk. ja osien pain. pist.'!$A:$Q,COLUMN('2.2 Tutk. ja osien pain. pist.'!P:P),FALSE),1),0)</f>
        <v>0</v>
      </c>
      <c r="N87" s="16">
        <f>IFERROR(Ohj.lask.[[#This Row],[Painotetut pisteet 2]]/Ohj.lask.[[#Totals],[Painotetut pisteet 2]],0)</f>
        <v>0</v>
      </c>
      <c r="O87" s="23">
        <f>ROUND(IFERROR('1.1 Jakotaulu'!K$12*Ohj.lask.[[#This Row],[%-osuus 2]],0),0)</f>
        <v>0</v>
      </c>
      <c r="P87" s="187">
        <f>IFERROR(ROUND(VLOOKUP($A87,'2.3 Työll. ja jatko-opisk.'!$A:$K,COLUMN('2.3 Työll. ja jatko-opisk.'!I:I),FALSE),1),0)</f>
        <v>0</v>
      </c>
      <c r="Q87" s="16">
        <f>IFERROR(Ohj.lask.[[#This Row],[Painotetut pisteet 3]]/Ohj.lask.[[#Totals],[Painotetut pisteet 3]],0)</f>
        <v>0</v>
      </c>
      <c r="R87" s="17">
        <f>ROUND(IFERROR('1.1 Jakotaulu'!L$14*Ohj.lask.[[#This Row],[%-osuus 3]],0),0)</f>
        <v>0</v>
      </c>
      <c r="S87" s="186">
        <f>IFERROR(ROUND(VLOOKUP($A87,'2.4 Aloittaneet palaute'!$A:$K,COLUMN('2.4 Aloittaneet palaute'!J:J),FALSE),1),0)</f>
        <v>0</v>
      </c>
      <c r="T87" s="20">
        <f>IFERROR(Ohj.lask.[[#This Row],[Painotetut pisteet 4]]/Ohj.lask.[[#Totals],[Painotetut pisteet 4]],0)</f>
        <v>0</v>
      </c>
      <c r="U87" s="23">
        <f>ROUND(IFERROR('1.1 Jakotaulu'!M$16*Ohj.lask.[[#This Row],[%-osuus 4]],0),0)</f>
        <v>0</v>
      </c>
      <c r="V87" s="81">
        <f>IFERROR(ROUND(VLOOKUP($A87,'2.5 Päättäneet palaute'!$A:$AC,COLUMN('2.5 Päättäneet palaute'!AB:AB),FALSE),1),0)</f>
        <v>0</v>
      </c>
      <c r="W87" s="20">
        <f>IFERROR(Ohj.lask.[[#This Row],[Painotetut pisteet 5]]/Ohj.lask.[[#Totals],[Painotetut pisteet 5]],0)</f>
        <v>0</v>
      </c>
      <c r="X87" s="17">
        <f>ROUND(IFERROR('1.1 Jakotaulu'!M$17*Ohj.lask.[[#This Row],[%-osuus 5]],0),0)</f>
        <v>0</v>
      </c>
      <c r="Y87" s="19">
        <f>IFERROR(Ohj.lask.[[#This Row],[Jaettava € 6]]/Ohj.lask.[[#Totals],[Jaettava € 6]],"")</f>
        <v>0</v>
      </c>
      <c r="Z87" s="23">
        <f>IFERROR(Ohj.lask.[[#This Row],[Jaettava € 1]]+Ohj.lask.[[#This Row],[Jaettava € 2]]+Ohj.lask.[[#This Row],[Jaettava € 3]]+Ohj.lask.[[#This Row],[Jaettava € 4]]+Ohj.lask.[[#This Row],[Jaettava € 5]],"")</f>
        <v>0</v>
      </c>
      <c r="AA87" s="17">
        <v>0</v>
      </c>
      <c r="AB87" s="17">
        <v>0</v>
      </c>
      <c r="AC87" s="18">
        <v>0</v>
      </c>
      <c r="AD87" s="17">
        <v>0</v>
      </c>
      <c r="AE87" s="18">
        <v>0</v>
      </c>
      <c r="AF87" s="17">
        <v>0</v>
      </c>
      <c r="AG87" s="18">
        <v>0</v>
      </c>
      <c r="AH87" s="17">
        <v>0</v>
      </c>
      <c r="AI87" s="18">
        <v>0</v>
      </c>
      <c r="AJ87" s="17">
        <v>0</v>
      </c>
      <c r="AK87" s="18">
        <v>0</v>
      </c>
      <c r="AL87" s="17">
        <v>0</v>
      </c>
      <c r="AM87" s="18">
        <v>0</v>
      </c>
      <c r="AN87" s="23">
        <v>0</v>
      </c>
      <c r="AO87" s="17">
        <v>0</v>
      </c>
      <c r="AP87" s="17">
        <v>0</v>
      </c>
      <c r="AQ87" s="18">
        <f>IFERROR(VLOOKUP(Ohj.lask.[[#This Row],[Y-tunnus]],#REF!,COLUMN(#REF!),FALSE),0)</f>
        <v>0</v>
      </c>
      <c r="AR87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87" s="17">
        <f>Ohj.lask.[[#This Row],[Jaettava € 1]]+Ohj.lask.[[#This Row],[Päätös, € 9]]</f>
        <v>0</v>
      </c>
      <c r="AT87" s="113">
        <f>Ohj.lask.[[#This Row],[Jaettava € 2]]</f>
        <v>0</v>
      </c>
      <c r="AU87" s="17">
        <f>Ohj.lask.[[#This Row],[Jaettava € 3]]+Ohj.lask.[[#This Row],[Jaettava € 4]]+Ohj.lask.[[#This Row],[Jaettava € 5]]</f>
        <v>0</v>
      </c>
      <c r="AV87" s="42">
        <f>Ohj.lask.[[#This Row],[Jaettava € 6]]+Ohj.lask.[[#This Row],[Päätös, € 9]]</f>
        <v>0</v>
      </c>
      <c r="AW87" s="42">
        <v>0</v>
      </c>
      <c r="AX87" s="23">
        <f>Ohj.lask.[[#This Row],[Perus-, suoritus- ja vaikuttavuusrahoitus yhteensä, €]]+Ohj.lask.[[#This Row],[Alv-korvaus, €]]</f>
        <v>0</v>
      </c>
    </row>
    <row r="88" spans="1:50" ht="12.75" x14ac:dyDescent="0.2">
      <c r="A88" s="134" t="s">
        <v>300</v>
      </c>
      <c r="B88" s="14" t="s">
        <v>435</v>
      </c>
      <c r="C88" s="14" t="s">
        <v>216</v>
      </c>
      <c r="D88" s="14" t="s">
        <v>392</v>
      </c>
      <c r="E88" s="14" t="s">
        <v>438</v>
      </c>
      <c r="F88" s="117">
        <v>0</v>
      </c>
      <c r="G88" s="124">
        <f>Ohj.lask.[[#This Row],[Tavoitteelliset opiskelija-vuodet]]-Ohj.lask.[[#This Row],[Järjestämisluvan opisk.vuosien vähimmäismäärä]]</f>
        <v>0</v>
      </c>
      <c r="H88" s="41">
        <v>0</v>
      </c>
      <c r="I88" s="15">
        <f>IFERROR(VLOOKUP($A88,'2.1 Toteut. op.vuodet'!$A:$T,COLUMN('2.1 Toteut. op.vuodet'!T:T),FALSE),0)</f>
        <v>0.85972601517748559</v>
      </c>
      <c r="J88" s="81">
        <f t="shared" si="2"/>
        <v>0</v>
      </c>
      <c r="K88" s="16">
        <f>IFERROR(Ohj.lask.[[#This Row],[Painotetut opiskelija-vuodet]]/Ohj.lask.[[#Totals],[Painotetut opiskelija-vuodet]],0)</f>
        <v>0</v>
      </c>
      <c r="L88" s="17">
        <f>ROUND(IFERROR('1.1 Jakotaulu'!L$11*Ohj.lask.[[#This Row],[%-osuus 1]],0),0)</f>
        <v>0</v>
      </c>
      <c r="M88" s="186">
        <f>IFERROR(ROUND(VLOOKUP($A88,'2.2 Tutk. ja osien pain. pist.'!$A:$Q,COLUMN('2.2 Tutk. ja osien pain. pist.'!P:P),FALSE),1),0)</f>
        <v>0</v>
      </c>
      <c r="N88" s="16">
        <f>IFERROR(Ohj.lask.[[#This Row],[Painotetut pisteet 2]]/Ohj.lask.[[#Totals],[Painotetut pisteet 2]],0)</f>
        <v>0</v>
      </c>
      <c r="O88" s="23">
        <f>ROUND(IFERROR('1.1 Jakotaulu'!K$12*Ohj.lask.[[#This Row],[%-osuus 2]],0),0)</f>
        <v>0</v>
      </c>
      <c r="P88" s="187">
        <f>IFERROR(ROUND(VLOOKUP($A88,'2.3 Työll. ja jatko-opisk.'!$A:$K,COLUMN('2.3 Työll. ja jatko-opisk.'!I:I),FALSE),1),0)</f>
        <v>0</v>
      </c>
      <c r="Q88" s="16">
        <f>IFERROR(Ohj.lask.[[#This Row],[Painotetut pisteet 3]]/Ohj.lask.[[#Totals],[Painotetut pisteet 3]],0)</f>
        <v>0</v>
      </c>
      <c r="R88" s="17">
        <f>ROUND(IFERROR('1.1 Jakotaulu'!L$14*Ohj.lask.[[#This Row],[%-osuus 3]],0),0)</f>
        <v>0</v>
      </c>
      <c r="S88" s="186">
        <f>IFERROR(ROUND(VLOOKUP($A88,'2.4 Aloittaneet palaute'!$A:$K,COLUMN('2.4 Aloittaneet palaute'!J:J),FALSE),1),0)</f>
        <v>0</v>
      </c>
      <c r="T88" s="20">
        <f>IFERROR(Ohj.lask.[[#This Row],[Painotetut pisteet 4]]/Ohj.lask.[[#Totals],[Painotetut pisteet 4]],0)</f>
        <v>0</v>
      </c>
      <c r="U88" s="23">
        <f>ROUND(IFERROR('1.1 Jakotaulu'!M$16*Ohj.lask.[[#This Row],[%-osuus 4]],0),0)</f>
        <v>0</v>
      </c>
      <c r="V88" s="81">
        <f>IFERROR(ROUND(VLOOKUP($A88,'2.5 Päättäneet palaute'!$A:$AC,COLUMN('2.5 Päättäneet palaute'!AB:AB),FALSE),1),0)</f>
        <v>0</v>
      </c>
      <c r="W88" s="20">
        <f>IFERROR(Ohj.lask.[[#This Row],[Painotetut pisteet 5]]/Ohj.lask.[[#Totals],[Painotetut pisteet 5]],0)</f>
        <v>0</v>
      </c>
      <c r="X88" s="17">
        <f>ROUND(IFERROR('1.1 Jakotaulu'!M$17*Ohj.lask.[[#This Row],[%-osuus 5]],0),0)</f>
        <v>0</v>
      </c>
      <c r="Y88" s="19">
        <f>IFERROR(Ohj.lask.[[#This Row],[Jaettava € 6]]/Ohj.lask.[[#Totals],[Jaettava € 6]],"")</f>
        <v>0</v>
      </c>
      <c r="Z88" s="23">
        <f>IFERROR(Ohj.lask.[[#This Row],[Jaettava € 1]]+Ohj.lask.[[#This Row],[Jaettava € 2]]+Ohj.lask.[[#This Row],[Jaettava € 3]]+Ohj.lask.[[#This Row],[Jaettava € 4]]+Ohj.lask.[[#This Row],[Jaettava € 5]],"")</f>
        <v>0</v>
      </c>
      <c r="AA88" s="17">
        <v>0</v>
      </c>
      <c r="AB88" s="17">
        <v>0</v>
      </c>
      <c r="AC88" s="18">
        <v>0</v>
      </c>
      <c r="AD88" s="17">
        <v>0</v>
      </c>
      <c r="AE88" s="18">
        <v>0</v>
      </c>
      <c r="AF88" s="17">
        <v>0</v>
      </c>
      <c r="AG88" s="18">
        <v>0</v>
      </c>
      <c r="AH88" s="17">
        <v>0</v>
      </c>
      <c r="AI88" s="18">
        <v>0</v>
      </c>
      <c r="AJ88" s="17">
        <v>0</v>
      </c>
      <c r="AK88" s="18">
        <v>0</v>
      </c>
      <c r="AL88" s="17">
        <v>0</v>
      </c>
      <c r="AM88" s="18">
        <v>0</v>
      </c>
      <c r="AN88" s="23">
        <v>0</v>
      </c>
      <c r="AO88" s="17">
        <v>0</v>
      </c>
      <c r="AP88" s="17">
        <v>0</v>
      </c>
      <c r="AQ88" s="18">
        <f>IFERROR(VLOOKUP(Ohj.lask.[[#This Row],[Y-tunnus]],#REF!,COLUMN(#REF!),FALSE),0)</f>
        <v>0</v>
      </c>
      <c r="AR88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88" s="17">
        <f>Ohj.lask.[[#This Row],[Jaettava € 1]]+Ohj.lask.[[#This Row],[Päätös, € 9]]</f>
        <v>0</v>
      </c>
      <c r="AT88" s="113">
        <f>Ohj.lask.[[#This Row],[Jaettava € 2]]</f>
        <v>0</v>
      </c>
      <c r="AU88" s="17">
        <f>Ohj.lask.[[#This Row],[Jaettava € 3]]+Ohj.lask.[[#This Row],[Jaettava € 4]]+Ohj.lask.[[#This Row],[Jaettava € 5]]</f>
        <v>0</v>
      </c>
      <c r="AV88" s="42">
        <f>Ohj.lask.[[#This Row],[Jaettava € 6]]+Ohj.lask.[[#This Row],[Päätös, € 9]]</f>
        <v>0</v>
      </c>
      <c r="AW88" s="42">
        <v>14089</v>
      </c>
      <c r="AX88" s="23">
        <f>Ohj.lask.[[#This Row],[Perus-, suoritus- ja vaikuttavuusrahoitus yhteensä, €]]+Ohj.lask.[[#This Row],[Alv-korvaus, €]]</f>
        <v>14089</v>
      </c>
    </row>
    <row r="89" spans="1:50" ht="12.75" x14ac:dyDescent="0.2">
      <c r="A89" s="134" t="s">
        <v>299</v>
      </c>
      <c r="B89" s="14" t="s">
        <v>87</v>
      </c>
      <c r="C89" s="14" t="s">
        <v>222</v>
      </c>
      <c r="D89" s="14" t="s">
        <v>391</v>
      </c>
      <c r="E89" s="14" t="s">
        <v>439</v>
      </c>
      <c r="F89" s="117">
        <v>1164</v>
      </c>
      <c r="G89" s="124">
        <f>Ohj.lask.[[#This Row],[Tavoitteelliset opiskelija-vuodet]]-Ohj.lask.[[#This Row],[Järjestämisluvan opisk.vuosien vähimmäismäärä]]</f>
        <v>48</v>
      </c>
      <c r="H89" s="41">
        <v>1212</v>
      </c>
      <c r="I89" s="15">
        <f>IFERROR(VLOOKUP($A89,'2.1 Toteut. op.vuodet'!$A:$T,COLUMN('2.1 Toteut. op.vuodet'!T:T),FALSE),0)</f>
        <v>1.4678734727721243</v>
      </c>
      <c r="J89" s="81">
        <f t="shared" si="2"/>
        <v>1779.1</v>
      </c>
      <c r="K89" s="16">
        <f>IFERROR(Ohj.lask.[[#This Row],[Painotetut opiskelija-vuodet]]/Ohj.lask.[[#Totals],[Painotetut opiskelija-vuodet]],0)</f>
        <v>8.688233501586165E-3</v>
      </c>
      <c r="L89" s="17">
        <f>ROUND(IFERROR('1.1 Jakotaulu'!L$11*Ohj.lask.[[#This Row],[%-osuus 1]],0),0)</f>
        <v>10942578</v>
      </c>
      <c r="M89" s="186">
        <f>IFERROR(ROUND(VLOOKUP($A89,'2.2 Tutk. ja osien pain. pist.'!$A:$Q,COLUMN('2.2 Tutk. ja osien pain. pist.'!P:P),FALSE),1),0)</f>
        <v>129842.1</v>
      </c>
      <c r="N89" s="16">
        <f>IFERROR(Ohj.lask.[[#This Row],[Painotetut pisteet 2]]/Ohj.lask.[[#Totals],[Painotetut pisteet 2]],0)</f>
        <v>8.3353511224635978E-3</v>
      </c>
      <c r="O89" s="23">
        <f>ROUND(IFERROR('1.1 Jakotaulu'!K$12*Ohj.lask.[[#This Row],[%-osuus 2]],0),0)</f>
        <v>3060591</v>
      </c>
      <c r="P89" s="187">
        <f>IFERROR(ROUND(VLOOKUP($A89,'2.3 Työll. ja jatko-opisk.'!$A:$K,COLUMN('2.3 Työll. ja jatko-opisk.'!I:I),FALSE),1),0)</f>
        <v>1599.1</v>
      </c>
      <c r="Q89" s="16">
        <f>IFERROR(Ohj.lask.[[#This Row],[Painotetut pisteet 3]]/Ohj.lask.[[#Totals],[Painotetut pisteet 3]],0)</f>
        <v>8.0347537896392849E-3</v>
      </c>
      <c r="R89" s="17">
        <f>ROUND(IFERROR('1.1 Jakotaulu'!L$14*Ohj.lask.[[#This Row],[%-osuus 3]],0),0)</f>
        <v>1106331</v>
      </c>
      <c r="S89" s="186">
        <f>IFERROR(ROUND(VLOOKUP($A89,'2.4 Aloittaneet palaute'!$A:$K,COLUMN('2.4 Aloittaneet palaute'!J:J),FALSE),1),0)</f>
        <v>10950.6</v>
      </c>
      <c r="T89" s="20">
        <f>IFERROR(Ohj.lask.[[#This Row],[Painotetut pisteet 4]]/Ohj.lask.[[#Totals],[Painotetut pisteet 4]],0)</f>
        <v>6.6526351344988873E-3</v>
      </c>
      <c r="U89" s="23">
        <f>ROUND(IFERROR('1.1 Jakotaulu'!M$16*Ohj.lask.[[#This Row],[%-osuus 4]],0),0)</f>
        <v>76335</v>
      </c>
      <c r="V89" s="81">
        <f>IFERROR(ROUND(VLOOKUP($A89,'2.5 Päättäneet palaute'!$A:$AC,COLUMN('2.5 Päättäneet palaute'!AB:AB),FALSE),1),0)</f>
        <v>51589.8</v>
      </c>
      <c r="W89" s="20">
        <f>IFERROR(Ohj.lask.[[#This Row],[Painotetut pisteet 5]]/Ohj.lask.[[#Totals],[Painotetut pisteet 5]],0)</f>
        <v>5.9839076221197456E-3</v>
      </c>
      <c r="X89" s="17">
        <f>ROUND(IFERROR('1.1 Jakotaulu'!M$17*Ohj.lask.[[#This Row],[%-osuus 5]],0),0)</f>
        <v>205986</v>
      </c>
      <c r="Y89" s="19">
        <f>IFERROR(Ohj.lask.[[#This Row],[Jaettava € 6]]/Ohj.lask.[[#Totals],[Jaettava € 6]],"")</f>
        <v>8.5026222561579538E-3</v>
      </c>
      <c r="Z89" s="23">
        <f>IFERROR(Ohj.lask.[[#This Row],[Jaettava € 1]]+Ohj.lask.[[#This Row],[Jaettava € 2]]+Ohj.lask.[[#This Row],[Jaettava € 3]]+Ohj.lask.[[#This Row],[Jaettava € 4]]+Ohj.lask.[[#This Row],[Jaettava € 5]],"")</f>
        <v>15391821</v>
      </c>
      <c r="AA89" s="17">
        <v>108000</v>
      </c>
      <c r="AB89" s="17">
        <v>0</v>
      </c>
      <c r="AC89" s="18">
        <v>287000</v>
      </c>
      <c r="AD89" s="17">
        <v>0</v>
      </c>
      <c r="AE89" s="18">
        <v>930000</v>
      </c>
      <c r="AF89" s="17">
        <v>0</v>
      </c>
      <c r="AG89" s="18">
        <v>149000</v>
      </c>
      <c r="AH89" s="17">
        <v>0</v>
      </c>
      <c r="AI89" s="18">
        <v>441000</v>
      </c>
      <c r="AJ89" s="17">
        <v>0</v>
      </c>
      <c r="AK89" s="18">
        <v>0</v>
      </c>
      <c r="AL89" s="17">
        <v>0</v>
      </c>
      <c r="AM89" s="18">
        <v>35000</v>
      </c>
      <c r="AN89" s="23">
        <v>35000</v>
      </c>
      <c r="AO89" s="17">
        <v>0</v>
      </c>
      <c r="AP89" s="17">
        <v>0</v>
      </c>
      <c r="AQ89" s="18">
        <f>IFERROR(VLOOKUP(Ohj.lask.[[#This Row],[Y-tunnus]],#REF!,COLUMN(#REF!),FALSE),0)</f>
        <v>0</v>
      </c>
      <c r="AR89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35000</v>
      </c>
      <c r="AS89" s="17">
        <f>Ohj.lask.[[#This Row],[Jaettava € 1]]+Ohj.lask.[[#This Row],[Päätös, € 9]]</f>
        <v>10977578</v>
      </c>
      <c r="AT89" s="113">
        <f>Ohj.lask.[[#This Row],[Jaettava € 2]]</f>
        <v>3060591</v>
      </c>
      <c r="AU89" s="17">
        <f>Ohj.lask.[[#This Row],[Jaettava € 3]]+Ohj.lask.[[#This Row],[Jaettava € 4]]+Ohj.lask.[[#This Row],[Jaettava € 5]]</f>
        <v>1388652</v>
      </c>
      <c r="AV89" s="42">
        <f>Ohj.lask.[[#This Row],[Jaettava € 6]]+Ohj.lask.[[#This Row],[Päätös, € 9]]</f>
        <v>15426821</v>
      </c>
      <c r="AW89" s="42">
        <v>0</v>
      </c>
      <c r="AX89" s="23">
        <f>Ohj.lask.[[#This Row],[Perus-, suoritus- ja vaikuttavuusrahoitus yhteensä, €]]+Ohj.lask.[[#This Row],[Alv-korvaus, €]]</f>
        <v>15426821</v>
      </c>
    </row>
    <row r="90" spans="1:50" ht="12.75" x14ac:dyDescent="0.2">
      <c r="A90" s="134" t="s">
        <v>298</v>
      </c>
      <c r="B90" s="14" t="s">
        <v>88</v>
      </c>
      <c r="C90" s="14" t="s">
        <v>224</v>
      </c>
      <c r="D90" s="14" t="s">
        <v>393</v>
      </c>
      <c r="E90" s="14" t="s">
        <v>438</v>
      </c>
      <c r="F90" s="117">
        <v>43</v>
      </c>
      <c r="G90" s="124">
        <f>Ohj.lask.[[#This Row],[Tavoitteelliset opiskelija-vuodet]]-Ohj.lask.[[#This Row],[Järjestämisluvan opisk.vuosien vähimmäismäärä]]</f>
        <v>0</v>
      </c>
      <c r="H90" s="41">
        <v>43</v>
      </c>
      <c r="I90" s="15">
        <f>IFERROR(VLOOKUP($A90,'2.1 Toteut. op.vuodet'!$A:$T,COLUMN('2.1 Toteut. op.vuodet'!T:T),FALSE),0)</f>
        <v>1.5885805815672742</v>
      </c>
      <c r="J90" s="81">
        <f t="shared" si="2"/>
        <v>68.3</v>
      </c>
      <c r="K90" s="16">
        <f>IFERROR(Ohj.lask.[[#This Row],[Painotetut opiskelija-vuodet]]/Ohj.lask.[[#Totals],[Painotetut opiskelija-vuodet]],0)</f>
        <v>3.3354299823412685E-4</v>
      </c>
      <c r="L90" s="17">
        <f>ROUND(IFERROR('1.1 Jakotaulu'!L$11*Ohj.lask.[[#This Row],[%-osuus 1]],0),0)</f>
        <v>420088</v>
      </c>
      <c r="M90" s="186">
        <f>IFERROR(ROUND(VLOOKUP($A90,'2.2 Tutk. ja osien pain. pist.'!$A:$Q,COLUMN('2.2 Tutk. ja osien pain. pist.'!P:P),FALSE),1),0)</f>
        <v>8333.5</v>
      </c>
      <c r="N90" s="16">
        <f>IFERROR(Ohj.lask.[[#This Row],[Painotetut pisteet 2]]/Ohj.lask.[[#Totals],[Painotetut pisteet 2]],0)</f>
        <v>5.3497785832985127E-4</v>
      </c>
      <c r="O90" s="23">
        <f>ROUND(IFERROR('1.1 Jakotaulu'!K$12*Ohj.lask.[[#This Row],[%-osuus 2]],0),0)</f>
        <v>196434</v>
      </c>
      <c r="P90" s="187">
        <f>IFERROR(ROUND(VLOOKUP($A90,'2.3 Työll. ja jatko-opisk.'!$A:$K,COLUMN('2.3 Työll. ja jatko-opisk.'!I:I),FALSE),1),0)</f>
        <v>71.900000000000006</v>
      </c>
      <c r="Q90" s="16">
        <f>IFERROR(Ohj.lask.[[#This Row],[Painotetut pisteet 3]]/Ohj.lask.[[#Totals],[Painotetut pisteet 3]],0)</f>
        <v>3.6126495996189397E-4</v>
      </c>
      <c r="R90" s="17">
        <f>ROUND(IFERROR('1.1 Jakotaulu'!L$14*Ohj.lask.[[#This Row],[%-osuus 3]],0),0)</f>
        <v>49744</v>
      </c>
      <c r="S90" s="186">
        <f>IFERROR(ROUND(VLOOKUP($A90,'2.4 Aloittaneet palaute'!$A:$K,COLUMN('2.4 Aloittaneet palaute'!J:J),FALSE),1),0)</f>
        <v>525</v>
      </c>
      <c r="T90" s="20">
        <f>IFERROR(Ohj.lask.[[#This Row],[Painotetut pisteet 4]]/Ohj.lask.[[#Totals],[Painotetut pisteet 4]],0)</f>
        <v>3.1894448209339357E-4</v>
      </c>
      <c r="U90" s="23">
        <f>ROUND(IFERROR('1.1 Jakotaulu'!M$16*Ohj.lask.[[#This Row],[%-osuus 4]],0),0)</f>
        <v>3660</v>
      </c>
      <c r="V90" s="81">
        <f>IFERROR(ROUND(VLOOKUP($A90,'2.5 Päättäneet palaute'!$A:$AC,COLUMN('2.5 Päättäneet palaute'!AB:AB),FALSE),1),0)</f>
        <v>1437.6</v>
      </c>
      <c r="W90" s="20">
        <f>IFERROR(Ohj.lask.[[#This Row],[Painotetut pisteet 5]]/Ohj.lask.[[#Totals],[Painotetut pisteet 5]],0)</f>
        <v>1.6674741126267877E-4</v>
      </c>
      <c r="X90" s="17">
        <f>ROUND(IFERROR('1.1 Jakotaulu'!M$17*Ohj.lask.[[#This Row],[%-osuus 5]],0),0)</f>
        <v>5740</v>
      </c>
      <c r="Y90" s="19">
        <f>IFERROR(Ohj.lask.[[#This Row],[Jaettava € 6]]/Ohj.lask.[[#Totals],[Jaettava € 6]],"")</f>
        <v>3.7324581473038312E-4</v>
      </c>
      <c r="Z90" s="23">
        <f>IFERROR(Ohj.lask.[[#This Row],[Jaettava € 1]]+Ohj.lask.[[#This Row],[Jaettava € 2]]+Ohj.lask.[[#This Row],[Jaettava € 3]]+Ohj.lask.[[#This Row],[Jaettava € 4]]+Ohj.lask.[[#This Row],[Jaettava € 5]],"")</f>
        <v>675666</v>
      </c>
      <c r="AA90" s="17">
        <v>0</v>
      </c>
      <c r="AB90" s="17">
        <v>0</v>
      </c>
      <c r="AC90" s="18">
        <v>0</v>
      </c>
      <c r="AD90" s="17">
        <v>0</v>
      </c>
      <c r="AE90" s="18">
        <v>0</v>
      </c>
      <c r="AF90" s="17">
        <v>0</v>
      </c>
      <c r="AG90" s="18">
        <v>0</v>
      </c>
      <c r="AH90" s="17">
        <v>0</v>
      </c>
      <c r="AI90" s="18">
        <v>0</v>
      </c>
      <c r="AJ90" s="17">
        <v>0</v>
      </c>
      <c r="AK90" s="18">
        <v>0</v>
      </c>
      <c r="AL90" s="17">
        <v>0</v>
      </c>
      <c r="AM90" s="18">
        <v>0</v>
      </c>
      <c r="AN90" s="23">
        <v>0</v>
      </c>
      <c r="AO90" s="17">
        <v>0</v>
      </c>
      <c r="AP90" s="17">
        <v>0</v>
      </c>
      <c r="AQ90" s="18">
        <f>IFERROR(VLOOKUP(Ohj.lask.[[#This Row],[Y-tunnus]],#REF!,COLUMN(#REF!),FALSE),0)</f>
        <v>0</v>
      </c>
      <c r="AR90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90" s="17">
        <f>Ohj.lask.[[#This Row],[Jaettava € 1]]+Ohj.lask.[[#This Row],[Päätös, € 9]]</f>
        <v>420088</v>
      </c>
      <c r="AT90" s="113">
        <f>Ohj.lask.[[#This Row],[Jaettava € 2]]</f>
        <v>196434</v>
      </c>
      <c r="AU90" s="17">
        <f>Ohj.lask.[[#This Row],[Jaettava € 3]]+Ohj.lask.[[#This Row],[Jaettava € 4]]+Ohj.lask.[[#This Row],[Jaettava € 5]]</f>
        <v>59144</v>
      </c>
      <c r="AV90" s="42">
        <f>Ohj.lask.[[#This Row],[Jaettava € 6]]+Ohj.lask.[[#This Row],[Päätös, € 9]]</f>
        <v>675666</v>
      </c>
      <c r="AW90" s="42">
        <v>0</v>
      </c>
      <c r="AX90" s="23">
        <f>Ohj.lask.[[#This Row],[Perus-, suoritus- ja vaikuttavuusrahoitus yhteensä, €]]+Ohj.lask.[[#This Row],[Alv-korvaus, €]]</f>
        <v>675666</v>
      </c>
    </row>
    <row r="91" spans="1:50" ht="12.75" x14ac:dyDescent="0.2">
      <c r="A91" s="134" t="s">
        <v>294</v>
      </c>
      <c r="B91" s="14" t="s">
        <v>90</v>
      </c>
      <c r="C91" s="14" t="s">
        <v>216</v>
      </c>
      <c r="D91" s="14" t="s">
        <v>392</v>
      </c>
      <c r="E91" s="14" t="s">
        <v>438</v>
      </c>
      <c r="F91" s="117">
        <v>45</v>
      </c>
      <c r="G91" s="124">
        <f>Ohj.lask.[[#This Row],[Tavoitteelliset opiskelija-vuodet]]-Ohj.lask.[[#This Row],[Järjestämisluvan opisk.vuosien vähimmäismäärä]]</f>
        <v>0</v>
      </c>
      <c r="H91" s="41">
        <v>45</v>
      </c>
      <c r="I91" s="15">
        <f>IFERROR(VLOOKUP($A91,'2.1 Toteut. op.vuodet'!$A:$T,COLUMN('2.1 Toteut. op.vuodet'!T:T),FALSE),0)</f>
        <v>1.5255868860480752</v>
      </c>
      <c r="J91" s="81">
        <f t="shared" si="2"/>
        <v>68.7</v>
      </c>
      <c r="K91" s="16">
        <f>IFERROR(Ohj.lask.[[#This Row],[Painotetut opiskelija-vuodet]]/Ohj.lask.[[#Totals],[Painotetut opiskelija-vuodet]],0)</f>
        <v>3.3549639793095925E-4</v>
      </c>
      <c r="L91" s="17">
        <f>ROUND(IFERROR('1.1 Jakotaulu'!L$11*Ohj.lask.[[#This Row],[%-osuus 1]],0),0)</f>
        <v>422548</v>
      </c>
      <c r="M91" s="186">
        <f>IFERROR(ROUND(VLOOKUP($A91,'2.2 Tutk. ja osien pain. pist.'!$A:$Q,COLUMN('2.2 Tutk. ja osien pain. pist.'!P:P),FALSE),1),0)</f>
        <v>6136</v>
      </c>
      <c r="N91" s="16">
        <f>IFERROR(Ohj.lask.[[#This Row],[Painotetut pisteet 2]]/Ohj.lask.[[#Totals],[Painotetut pisteet 2]],0)</f>
        <v>3.93907018505066E-4</v>
      </c>
      <c r="O91" s="23">
        <f>ROUND(IFERROR('1.1 Jakotaulu'!K$12*Ohj.lask.[[#This Row],[%-osuus 2]],0),0)</f>
        <v>144636</v>
      </c>
      <c r="P91" s="187">
        <f>IFERROR(ROUND(VLOOKUP($A91,'2.3 Työll. ja jatko-opisk.'!$A:$K,COLUMN('2.3 Työll. ja jatko-opisk.'!I:I),FALSE),1),0)</f>
        <v>26.7</v>
      </c>
      <c r="Q91" s="16">
        <f>IFERROR(Ohj.lask.[[#This Row],[Painotetut pisteet 3]]/Ohj.lask.[[#Totals],[Painotetut pisteet 3]],0)</f>
        <v>1.3415541628626659E-4</v>
      </c>
      <c r="R91" s="17">
        <f>ROUND(IFERROR('1.1 Jakotaulu'!L$14*Ohj.lask.[[#This Row],[%-osuus 3]],0),0)</f>
        <v>18472</v>
      </c>
      <c r="S91" s="186">
        <f>IFERROR(ROUND(VLOOKUP($A91,'2.4 Aloittaneet palaute'!$A:$K,COLUMN('2.4 Aloittaneet palaute'!J:J),FALSE),1),0)</f>
        <v>336.4</v>
      </c>
      <c r="T91" s="20">
        <f>IFERROR(Ohj.lask.[[#This Row],[Painotetut pisteet 4]]/Ohj.lask.[[#Totals],[Painotetut pisteet 4]],0)</f>
        <v>2.0436747385946209E-4</v>
      </c>
      <c r="U91" s="23">
        <f>ROUND(IFERROR('1.1 Jakotaulu'!M$16*Ohj.lask.[[#This Row],[%-osuus 4]],0),0)</f>
        <v>2345</v>
      </c>
      <c r="V91" s="81">
        <f>IFERROR(ROUND(VLOOKUP($A91,'2.5 Päättäneet palaute'!$A:$AC,COLUMN('2.5 Päättäneet palaute'!AB:AB),FALSE),1),0)</f>
        <v>1691.3</v>
      </c>
      <c r="W91" s="20">
        <f>IFERROR(Ohj.lask.[[#This Row],[Painotetut pisteet 5]]/Ohj.lask.[[#Totals],[Painotetut pisteet 5]],0)</f>
        <v>1.9617410730980009E-4</v>
      </c>
      <c r="X91" s="17">
        <f>ROUND(IFERROR('1.1 Jakotaulu'!M$17*Ohj.lask.[[#This Row],[%-osuus 5]],0),0)</f>
        <v>6753</v>
      </c>
      <c r="Y91" s="19">
        <f>IFERROR(Ohj.lask.[[#This Row],[Jaettava € 6]]/Ohj.lask.[[#Totals],[Jaettava € 6]],"")</f>
        <v>3.2854907793814441E-4</v>
      </c>
      <c r="Z91" s="23">
        <f>IFERROR(Ohj.lask.[[#This Row],[Jaettava € 1]]+Ohj.lask.[[#This Row],[Jaettava € 2]]+Ohj.lask.[[#This Row],[Jaettava € 3]]+Ohj.lask.[[#This Row],[Jaettava € 4]]+Ohj.lask.[[#This Row],[Jaettava € 5]],"")</f>
        <v>594754</v>
      </c>
      <c r="AA91" s="17">
        <v>0</v>
      </c>
      <c r="AB91" s="17">
        <v>0</v>
      </c>
      <c r="AC91" s="18">
        <v>0</v>
      </c>
      <c r="AD91" s="17">
        <v>0</v>
      </c>
      <c r="AE91" s="18">
        <v>0</v>
      </c>
      <c r="AF91" s="17">
        <v>0</v>
      </c>
      <c r="AG91" s="18">
        <v>42000</v>
      </c>
      <c r="AH91" s="17">
        <v>0</v>
      </c>
      <c r="AI91" s="18">
        <v>0</v>
      </c>
      <c r="AJ91" s="17">
        <v>0</v>
      </c>
      <c r="AK91" s="18">
        <v>0</v>
      </c>
      <c r="AL91" s="17">
        <v>0</v>
      </c>
      <c r="AM91" s="18">
        <v>0</v>
      </c>
      <c r="AN91" s="23">
        <v>0</v>
      </c>
      <c r="AO91" s="17">
        <v>0</v>
      </c>
      <c r="AP91" s="17">
        <v>0</v>
      </c>
      <c r="AQ91" s="18">
        <f>IFERROR(VLOOKUP(Ohj.lask.[[#This Row],[Y-tunnus]],#REF!,COLUMN(#REF!),FALSE),0)</f>
        <v>0</v>
      </c>
      <c r="AR91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91" s="17">
        <f>Ohj.lask.[[#This Row],[Jaettava € 1]]+Ohj.lask.[[#This Row],[Päätös, € 9]]</f>
        <v>422548</v>
      </c>
      <c r="AT91" s="113">
        <f>Ohj.lask.[[#This Row],[Jaettava € 2]]</f>
        <v>144636</v>
      </c>
      <c r="AU91" s="17">
        <f>Ohj.lask.[[#This Row],[Jaettava € 3]]+Ohj.lask.[[#This Row],[Jaettava € 4]]+Ohj.lask.[[#This Row],[Jaettava € 5]]</f>
        <v>27570</v>
      </c>
      <c r="AV91" s="42">
        <f>Ohj.lask.[[#This Row],[Jaettava € 6]]+Ohj.lask.[[#This Row],[Päätös, € 9]]</f>
        <v>594754</v>
      </c>
      <c r="AW91" s="42">
        <v>0</v>
      </c>
      <c r="AX91" s="23">
        <f>Ohj.lask.[[#This Row],[Perus-, suoritus- ja vaikuttavuusrahoitus yhteensä, €]]+Ohj.lask.[[#This Row],[Alv-korvaus, €]]</f>
        <v>594754</v>
      </c>
    </row>
    <row r="92" spans="1:50" ht="12.75" x14ac:dyDescent="0.2">
      <c r="A92" s="134" t="s">
        <v>293</v>
      </c>
      <c r="B92" s="14" t="s">
        <v>91</v>
      </c>
      <c r="C92" s="14" t="s">
        <v>216</v>
      </c>
      <c r="D92" s="14" t="s">
        <v>392</v>
      </c>
      <c r="E92" s="14" t="s">
        <v>438</v>
      </c>
      <c r="F92" s="117">
        <v>70</v>
      </c>
      <c r="G92" s="124">
        <f>Ohj.lask.[[#This Row],[Tavoitteelliset opiskelija-vuodet]]-Ohj.lask.[[#This Row],[Järjestämisluvan opisk.vuosien vähimmäismäärä]]</f>
        <v>0</v>
      </c>
      <c r="H92" s="41">
        <v>70</v>
      </c>
      <c r="I92" s="15">
        <f>IFERROR(VLOOKUP($A92,'2.1 Toteut. op.vuodet'!$A:$T,COLUMN('2.1 Toteut. op.vuodet'!T:T),FALSE),0)</f>
        <v>0.89908247485556847</v>
      </c>
      <c r="J92" s="81">
        <f t="shared" si="2"/>
        <v>62.9</v>
      </c>
      <c r="K92" s="16">
        <f>IFERROR(Ohj.lask.[[#This Row],[Painotetut opiskelija-vuodet]]/Ohj.lask.[[#Totals],[Painotetut opiskelija-vuodet]],0)</f>
        <v>3.0717210232688989E-4</v>
      </c>
      <c r="L92" s="17">
        <f>ROUND(IFERROR('1.1 Jakotaulu'!L$11*Ohj.lask.[[#This Row],[%-osuus 1]],0),0)</f>
        <v>386874</v>
      </c>
      <c r="M92" s="186">
        <f>IFERROR(ROUND(VLOOKUP($A92,'2.2 Tutk. ja osien pain. pist.'!$A:$Q,COLUMN('2.2 Tutk. ja osien pain. pist.'!P:P),FALSE),1),0)</f>
        <v>7352.2</v>
      </c>
      <c r="N92" s="16">
        <f>IFERROR(Ohj.lask.[[#This Row],[Painotetut pisteet 2]]/Ohj.lask.[[#Totals],[Painotetut pisteet 2]],0)</f>
        <v>4.719822655562168E-4</v>
      </c>
      <c r="O92" s="23">
        <f>ROUND(IFERROR('1.1 Jakotaulu'!K$12*Ohj.lask.[[#This Row],[%-osuus 2]],0),0)</f>
        <v>173303</v>
      </c>
      <c r="P92" s="187">
        <f>IFERROR(ROUND(VLOOKUP($A92,'2.3 Työll. ja jatko-opisk.'!$A:$K,COLUMN('2.3 Työll. ja jatko-opisk.'!I:I),FALSE),1),0)</f>
        <v>162.80000000000001</v>
      </c>
      <c r="Q92" s="16">
        <f>IFERROR(Ohj.lask.[[#This Row],[Painotetut pisteet 3]]/Ohj.lask.[[#Totals],[Painotetut pisteet 3]],0)</f>
        <v>8.1799632102637462E-4</v>
      </c>
      <c r="R92" s="17">
        <f>ROUND(IFERROR('1.1 Jakotaulu'!L$14*Ohj.lask.[[#This Row],[%-osuus 3]],0),0)</f>
        <v>112633</v>
      </c>
      <c r="S92" s="186">
        <f>IFERROR(ROUND(VLOOKUP($A92,'2.4 Aloittaneet palaute'!$A:$K,COLUMN('2.4 Aloittaneet palaute'!J:J),FALSE),1),0)</f>
        <v>1168.5999999999999</v>
      </c>
      <c r="T92" s="20">
        <f>IFERROR(Ohj.lask.[[#This Row],[Painotetut pisteet 4]]/Ohj.lask.[[#Totals],[Painotetut pisteet 4]],0)</f>
        <v>7.099400414749328E-4</v>
      </c>
      <c r="U92" s="23">
        <f>ROUND(IFERROR('1.1 Jakotaulu'!M$16*Ohj.lask.[[#This Row],[%-osuus 4]],0),0)</f>
        <v>8146</v>
      </c>
      <c r="V92" s="81">
        <f>IFERROR(ROUND(VLOOKUP($A92,'2.5 Päättäneet palaute'!$A:$AC,COLUMN('2.5 Päättäneet palaute'!AB:AB),FALSE),1),0)</f>
        <v>7097.8</v>
      </c>
      <c r="W92" s="20">
        <f>IFERROR(Ohj.lask.[[#This Row],[Painotetut pisteet 5]]/Ohj.lask.[[#Totals],[Painotetut pisteet 5]],0)</f>
        <v>8.2327474656388529E-4</v>
      </c>
      <c r="X92" s="17">
        <f>ROUND(IFERROR('1.1 Jakotaulu'!M$17*Ohj.lask.[[#This Row],[%-osuus 5]],0),0)</f>
        <v>28340</v>
      </c>
      <c r="Y92" s="19">
        <f>IFERROR(Ohj.lask.[[#This Row],[Jaettava € 6]]/Ohj.lask.[[#Totals],[Jaettava € 6]],"")</f>
        <v>3.9182342075078785E-4</v>
      </c>
      <c r="Z92" s="23">
        <f>IFERROR(Ohj.lask.[[#This Row],[Jaettava € 1]]+Ohj.lask.[[#This Row],[Jaettava € 2]]+Ohj.lask.[[#This Row],[Jaettava € 3]]+Ohj.lask.[[#This Row],[Jaettava € 4]]+Ohj.lask.[[#This Row],[Jaettava € 5]],"")</f>
        <v>709296</v>
      </c>
      <c r="AA92" s="17">
        <v>0</v>
      </c>
      <c r="AB92" s="17">
        <v>0</v>
      </c>
      <c r="AC92" s="18">
        <v>0</v>
      </c>
      <c r="AD92" s="17">
        <v>0</v>
      </c>
      <c r="AE92" s="18">
        <v>155000</v>
      </c>
      <c r="AF92" s="17">
        <v>0</v>
      </c>
      <c r="AG92" s="18">
        <v>0</v>
      </c>
      <c r="AH92" s="17">
        <v>0</v>
      </c>
      <c r="AI92" s="18">
        <v>0</v>
      </c>
      <c r="AJ92" s="17">
        <v>0</v>
      </c>
      <c r="AK92" s="18">
        <v>0</v>
      </c>
      <c r="AL92" s="17">
        <v>0</v>
      </c>
      <c r="AM92" s="18">
        <v>0</v>
      </c>
      <c r="AN92" s="23">
        <v>0</v>
      </c>
      <c r="AO92" s="17">
        <v>0</v>
      </c>
      <c r="AP92" s="17">
        <v>0</v>
      </c>
      <c r="AQ92" s="18">
        <f>IFERROR(VLOOKUP(Ohj.lask.[[#This Row],[Y-tunnus]],#REF!,COLUMN(#REF!),FALSE),0)</f>
        <v>0</v>
      </c>
      <c r="AR92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92" s="17">
        <f>Ohj.lask.[[#This Row],[Jaettava € 1]]+Ohj.lask.[[#This Row],[Päätös, € 9]]</f>
        <v>386874</v>
      </c>
      <c r="AT92" s="113">
        <f>Ohj.lask.[[#This Row],[Jaettava € 2]]</f>
        <v>173303</v>
      </c>
      <c r="AU92" s="17">
        <f>Ohj.lask.[[#This Row],[Jaettava € 3]]+Ohj.lask.[[#This Row],[Jaettava € 4]]+Ohj.lask.[[#This Row],[Jaettava € 5]]</f>
        <v>149119</v>
      </c>
      <c r="AV92" s="42">
        <f>Ohj.lask.[[#This Row],[Jaettava € 6]]+Ohj.lask.[[#This Row],[Päätös, € 9]]</f>
        <v>709296</v>
      </c>
      <c r="AW92" s="42">
        <v>35203</v>
      </c>
      <c r="AX92" s="23">
        <f>Ohj.lask.[[#This Row],[Perus-, suoritus- ja vaikuttavuusrahoitus yhteensä, €]]+Ohj.lask.[[#This Row],[Alv-korvaus, €]]</f>
        <v>744499</v>
      </c>
    </row>
    <row r="93" spans="1:50" ht="12.75" x14ac:dyDescent="0.2">
      <c r="A93" s="134" t="s">
        <v>292</v>
      </c>
      <c r="B93" s="14" t="s">
        <v>92</v>
      </c>
      <c r="C93" s="14" t="s">
        <v>312</v>
      </c>
      <c r="D93" s="14" t="s">
        <v>392</v>
      </c>
      <c r="E93" s="14" t="s">
        <v>438</v>
      </c>
      <c r="F93" s="117">
        <v>47</v>
      </c>
      <c r="G93" s="124">
        <f>Ohj.lask.[[#This Row],[Tavoitteelliset opiskelija-vuodet]]-Ohj.lask.[[#This Row],[Järjestämisluvan opisk.vuosien vähimmäismäärä]]</f>
        <v>22</v>
      </c>
      <c r="H93" s="41">
        <v>69</v>
      </c>
      <c r="I93" s="15">
        <f>IFERROR(VLOOKUP($A93,'2.1 Toteut. op.vuodet'!$A:$T,COLUMN('2.1 Toteut. op.vuodet'!T:T),FALSE),0)</f>
        <v>0.82612557605290882</v>
      </c>
      <c r="J93" s="81">
        <f t="shared" si="2"/>
        <v>57</v>
      </c>
      <c r="K93" s="16">
        <f>IFERROR(Ohj.lask.[[#This Row],[Painotetut opiskelija-vuodet]]/Ohj.lask.[[#Totals],[Painotetut opiskelija-vuodet]],0)</f>
        <v>2.7835945679861244E-4</v>
      </c>
      <c r="L93" s="17">
        <f>ROUND(IFERROR('1.1 Jakotaulu'!L$11*Ohj.lask.[[#This Row],[%-osuus 1]],0),0)</f>
        <v>350586</v>
      </c>
      <c r="M93" s="186">
        <f>IFERROR(ROUND(VLOOKUP($A93,'2.2 Tutk. ja osien pain. pist.'!$A:$Q,COLUMN('2.2 Tutk. ja osien pain. pist.'!P:P),FALSE),1),0)</f>
        <v>5504.9</v>
      </c>
      <c r="N93" s="16">
        <f>IFERROR(Ohj.lask.[[#This Row],[Painotetut pisteet 2]]/Ohj.lask.[[#Totals],[Painotetut pisteet 2]],0)</f>
        <v>3.5339288562068736E-4</v>
      </c>
      <c r="O93" s="23">
        <f>ROUND(IFERROR('1.1 Jakotaulu'!K$12*Ohj.lask.[[#This Row],[%-osuus 2]],0),0)</f>
        <v>129760</v>
      </c>
      <c r="P93" s="187">
        <f>IFERROR(ROUND(VLOOKUP($A93,'2.3 Työll. ja jatko-opisk.'!$A:$K,COLUMN('2.3 Työll. ja jatko-opisk.'!I:I),FALSE),1),0)</f>
        <v>169</v>
      </c>
      <c r="Q93" s="16">
        <f>IFERROR(Ohj.lask.[[#This Row],[Painotetut pisteet 3]]/Ohj.lask.[[#Totals],[Painotetut pisteet 3]],0)</f>
        <v>8.4914851507037663E-4</v>
      </c>
      <c r="R93" s="17">
        <f>ROUND(IFERROR('1.1 Jakotaulu'!L$14*Ohj.lask.[[#This Row],[%-osuus 3]],0),0)</f>
        <v>116922</v>
      </c>
      <c r="S93" s="186">
        <f>IFERROR(ROUND(VLOOKUP($A93,'2.4 Aloittaneet palaute'!$A:$K,COLUMN('2.4 Aloittaneet palaute'!J:J),FALSE),1),0)</f>
        <v>1844.8</v>
      </c>
      <c r="T93" s="20">
        <f>IFERROR(Ohj.lask.[[#This Row],[Painotetut pisteet 4]]/Ohj.lask.[[#Totals],[Painotetut pisteet 4]],0)</f>
        <v>1.1207405344112237E-3</v>
      </c>
      <c r="U93" s="23">
        <f>ROUND(IFERROR('1.1 Jakotaulu'!M$16*Ohj.lask.[[#This Row],[%-osuus 4]],0),0)</f>
        <v>12860</v>
      </c>
      <c r="V93" s="81">
        <f>IFERROR(ROUND(VLOOKUP($A93,'2.5 Päättäneet palaute'!$A:$AC,COLUMN('2.5 Päättäneet palaute'!AB:AB),FALSE),1),0)</f>
        <v>9462.1</v>
      </c>
      <c r="W93" s="20">
        <f>IFERROR(Ohj.lask.[[#This Row],[Painotetut pisteet 5]]/Ohj.lask.[[#Totals],[Painotetut pisteet 5]],0)</f>
        <v>1.097510211539088E-3</v>
      </c>
      <c r="X93" s="17">
        <f>ROUND(IFERROR('1.1 Jakotaulu'!M$17*Ohj.lask.[[#This Row],[%-osuus 5]],0),0)</f>
        <v>37780</v>
      </c>
      <c r="Y93" s="19">
        <f>IFERROR(Ohj.lask.[[#This Row],[Jaettava € 6]]/Ohj.lask.[[#Totals],[Jaettava € 6]],"")</f>
        <v>3.5791197030830775E-4</v>
      </c>
      <c r="Z93" s="23">
        <f>IFERROR(Ohj.lask.[[#This Row],[Jaettava € 1]]+Ohj.lask.[[#This Row],[Jaettava € 2]]+Ohj.lask.[[#This Row],[Jaettava € 3]]+Ohj.lask.[[#This Row],[Jaettava € 4]]+Ohj.lask.[[#This Row],[Jaettava € 5]],"")</f>
        <v>647908</v>
      </c>
      <c r="AA93" s="17">
        <v>0</v>
      </c>
      <c r="AB93" s="17">
        <v>0</v>
      </c>
      <c r="AC93" s="18">
        <v>0</v>
      </c>
      <c r="AD93" s="17">
        <v>0</v>
      </c>
      <c r="AE93" s="18">
        <v>0</v>
      </c>
      <c r="AF93" s="17">
        <v>0</v>
      </c>
      <c r="AG93" s="18">
        <v>0</v>
      </c>
      <c r="AH93" s="17">
        <v>0</v>
      </c>
      <c r="AI93" s="18">
        <v>15000</v>
      </c>
      <c r="AJ93" s="17">
        <v>0</v>
      </c>
      <c r="AK93" s="18">
        <v>40000</v>
      </c>
      <c r="AL93" s="17">
        <v>0</v>
      </c>
      <c r="AM93" s="18">
        <v>25000</v>
      </c>
      <c r="AN93" s="23">
        <v>10000</v>
      </c>
      <c r="AO93" s="17">
        <v>0</v>
      </c>
      <c r="AP93" s="17">
        <v>0</v>
      </c>
      <c r="AQ93" s="18">
        <f>IFERROR(VLOOKUP(Ohj.lask.[[#This Row],[Y-tunnus]],#REF!,COLUMN(#REF!),FALSE),0)</f>
        <v>0</v>
      </c>
      <c r="AR93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10000</v>
      </c>
      <c r="AS93" s="17">
        <f>Ohj.lask.[[#This Row],[Jaettava € 1]]+Ohj.lask.[[#This Row],[Päätös, € 9]]</f>
        <v>360586</v>
      </c>
      <c r="AT93" s="113">
        <f>Ohj.lask.[[#This Row],[Jaettava € 2]]</f>
        <v>129760</v>
      </c>
      <c r="AU93" s="17">
        <f>Ohj.lask.[[#This Row],[Jaettava € 3]]+Ohj.lask.[[#This Row],[Jaettava € 4]]+Ohj.lask.[[#This Row],[Jaettava € 5]]</f>
        <v>167562</v>
      </c>
      <c r="AV93" s="42">
        <f>Ohj.lask.[[#This Row],[Jaettava € 6]]+Ohj.lask.[[#This Row],[Päätös, € 9]]</f>
        <v>657908</v>
      </c>
      <c r="AW93" s="42">
        <v>27823</v>
      </c>
      <c r="AX93" s="23">
        <f>Ohj.lask.[[#This Row],[Perus-, suoritus- ja vaikuttavuusrahoitus yhteensä, €]]+Ohj.lask.[[#This Row],[Alv-korvaus, €]]</f>
        <v>685731</v>
      </c>
    </row>
    <row r="94" spans="1:50" ht="12.75" x14ac:dyDescent="0.2">
      <c r="A94" s="134" t="s">
        <v>291</v>
      </c>
      <c r="B94" s="14" t="s">
        <v>93</v>
      </c>
      <c r="C94" s="14" t="s">
        <v>232</v>
      </c>
      <c r="D94" s="14" t="s">
        <v>391</v>
      </c>
      <c r="E94" s="14" t="s">
        <v>438</v>
      </c>
      <c r="F94" s="117">
        <v>945</v>
      </c>
      <c r="G94" s="124">
        <f>Ohj.lask.[[#This Row],[Tavoitteelliset opiskelija-vuodet]]-Ohj.lask.[[#This Row],[Järjestämisluvan opisk.vuosien vähimmäismäärä]]</f>
        <v>105</v>
      </c>
      <c r="H94" s="41">
        <v>1050</v>
      </c>
      <c r="I94" s="15">
        <f>IFERROR(VLOOKUP($A94,'2.1 Toteut. op.vuodet'!$A:$T,COLUMN('2.1 Toteut. op.vuodet'!T:T),FALSE),0)</f>
        <v>1.2438172626601272</v>
      </c>
      <c r="J94" s="81">
        <f t="shared" si="2"/>
        <v>1306</v>
      </c>
      <c r="K94" s="16">
        <f>IFERROR(Ohj.lask.[[#This Row],[Painotetut opiskelija-vuodet]]/Ohj.lask.[[#Totals],[Painotetut opiskelija-vuodet]],0)</f>
        <v>6.377850010157682E-3</v>
      </c>
      <c r="L94" s="17">
        <f>ROUND(IFERROR('1.1 Jakotaulu'!L$11*Ohj.lask.[[#This Row],[%-osuus 1]],0),0)</f>
        <v>8032717</v>
      </c>
      <c r="M94" s="186">
        <f>IFERROR(ROUND(VLOOKUP($A94,'2.2 Tutk. ja osien pain. pist.'!$A:$Q,COLUMN('2.2 Tutk. ja osien pain. pist.'!P:P),FALSE),1),0)</f>
        <v>95520.2</v>
      </c>
      <c r="N94" s="16">
        <f>IFERROR(Ohj.lask.[[#This Row],[Painotetut pisteet 2]]/Ohj.lask.[[#Totals],[Painotetut pisteet 2]],0)</f>
        <v>6.1320204023806394E-3</v>
      </c>
      <c r="O94" s="23">
        <f>ROUND(IFERROR('1.1 Jakotaulu'!K$12*Ohj.lask.[[#This Row],[%-osuus 2]],0),0)</f>
        <v>2251568</v>
      </c>
      <c r="P94" s="187">
        <f>IFERROR(ROUND(VLOOKUP($A94,'2.3 Työll. ja jatko-opisk.'!$A:$K,COLUMN('2.3 Työll. ja jatko-opisk.'!I:I),FALSE),1),0)</f>
        <v>1052.9000000000001</v>
      </c>
      <c r="Q94" s="16">
        <f>IFERROR(Ohj.lask.[[#This Row],[Painotetut pisteet 3]]/Ohj.lask.[[#Totals],[Painotetut pisteet 3]],0)</f>
        <v>5.2903459853112398E-3</v>
      </c>
      <c r="R94" s="17">
        <f>ROUND(IFERROR('1.1 Jakotaulu'!L$14*Ohj.lask.[[#This Row],[%-osuus 3]],0),0)</f>
        <v>728445</v>
      </c>
      <c r="S94" s="186">
        <f>IFERROR(ROUND(VLOOKUP($A94,'2.4 Aloittaneet palaute'!$A:$K,COLUMN('2.4 Aloittaneet palaute'!J:J),FALSE),1),0)</f>
        <v>10562.3</v>
      </c>
      <c r="T94" s="20">
        <f>IFERROR(Ohj.lask.[[#This Row],[Painotetut pisteet 4]]/Ohj.lask.[[#Totals],[Painotetut pisteet 4]],0)</f>
        <v>6.4167377204096205E-3</v>
      </c>
      <c r="U94" s="23">
        <f>ROUND(IFERROR('1.1 Jakotaulu'!M$16*Ohj.lask.[[#This Row],[%-osuus 4]],0),0)</f>
        <v>73628</v>
      </c>
      <c r="V94" s="81">
        <f>IFERROR(ROUND(VLOOKUP($A94,'2.5 Päättäneet palaute'!$A:$AC,COLUMN('2.5 Päättäneet palaute'!AB:AB),FALSE),1),0)</f>
        <v>36806.5</v>
      </c>
      <c r="W94" s="20">
        <f>IFERROR(Ohj.lask.[[#This Row],[Painotetut pisteet 5]]/Ohj.lask.[[#Totals],[Painotetut pisteet 5]],0)</f>
        <v>4.2691907294378035E-3</v>
      </c>
      <c r="X94" s="17">
        <f>ROUND(IFERROR('1.1 Jakotaulu'!M$17*Ohj.lask.[[#This Row],[%-osuus 5]],0),0)</f>
        <v>146960</v>
      </c>
      <c r="Y94" s="19">
        <f>IFERROR(Ohj.lask.[[#This Row],[Jaettava € 6]]/Ohj.lask.[[#Totals],[Jaettava € 6]],"")</f>
        <v>6.205416476536451E-3</v>
      </c>
      <c r="Z94" s="23">
        <f>IFERROR(Ohj.lask.[[#This Row],[Jaettava € 1]]+Ohj.lask.[[#This Row],[Jaettava € 2]]+Ohj.lask.[[#This Row],[Jaettava € 3]]+Ohj.lask.[[#This Row],[Jaettava € 4]]+Ohj.lask.[[#This Row],[Jaettava € 5]],"")</f>
        <v>11233318</v>
      </c>
      <c r="AA94" s="17">
        <v>0</v>
      </c>
      <c r="AB94" s="17">
        <v>0</v>
      </c>
      <c r="AC94" s="18">
        <v>0</v>
      </c>
      <c r="AD94" s="17">
        <v>0</v>
      </c>
      <c r="AE94" s="18">
        <v>0</v>
      </c>
      <c r="AF94" s="17">
        <v>0</v>
      </c>
      <c r="AG94" s="18">
        <v>0</v>
      </c>
      <c r="AH94" s="17">
        <v>0</v>
      </c>
      <c r="AI94" s="18">
        <v>0</v>
      </c>
      <c r="AJ94" s="17">
        <v>0</v>
      </c>
      <c r="AK94" s="18">
        <v>0</v>
      </c>
      <c r="AL94" s="17">
        <v>0</v>
      </c>
      <c r="AM94" s="18">
        <v>0</v>
      </c>
      <c r="AN94" s="23">
        <v>0</v>
      </c>
      <c r="AO94" s="17">
        <v>0</v>
      </c>
      <c r="AP94" s="17">
        <v>0</v>
      </c>
      <c r="AQ94" s="18">
        <f>IFERROR(VLOOKUP(Ohj.lask.[[#This Row],[Y-tunnus]],#REF!,COLUMN(#REF!),FALSE),0)</f>
        <v>0</v>
      </c>
      <c r="AR94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94" s="17">
        <f>Ohj.lask.[[#This Row],[Jaettava € 1]]+Ohj.lask.[[#This Row],[Päätös, € 9]]</f>
        <v>8032717</v>
      </c>
      <c r="AT94" s="113">
        <f>Ohj.lask.[[#This Row],[Jaettava € 2]]</f>
        <v>2251568</v>
      </c>
      <c r="AU94" s="17">
        <f>Ohj.lask.[[#This Row],[Jaettava € 3]]+Ohj.lask.[[#This Row],[Jaettava € 4]]+Ohj.lask.[[#This Row],[Jaettava € 5]]</f>
        <v>949033</v>
      </c>
      <c r="AV94" s="42">
        <f>Ohj.lask.[[#This Row],[Jaettava € 6]]+Ohj.lask.[[#This Row],[Päätös, € 9]]</f>
        <v>11233318</v>
      </c>
      <c r="AW94" s="42">
        <v>0</v>
      </c>
      <c r="AX94" s="23">
        <f>Ohj.lask.[[#This Row],[Perus-, suoritus- ja vaikuttavuusrahoitus yhteensä, €]]+Ohj.lask.[[#This Row],[Alv-korvaus, €]]</f>
        <v>11233318</v>
      </c>
    </row>
    <row r="95" spans="1:50" ht="12.75" x14ac:dyDescent="0.2">
      <c r="A95" s="134" t="s">
        <v>290</v>
      </c>
      <c r="B95" s="14" t="s">
        <v>94</v>
      </c>
      <c r="C95" s="14" t="s">
        <v>216</v>
      </c>
      <c r="D95" s="14" t="s">
        <v>392</v>
      </c>
      <c r="E95" s="14" t="s">
        <v>438</v>
      </c>
      <c r="F95" s="117">
        <v>1332</v>
      </c>
      <c r="G95" s="124">
        <f>Ohj.lask.[[#This Row],[Tavoitteelliset opiskelija-vuodet]]-Ohj.lask.[[#This Row],[Järjestämisluvan opisk.vuosien vähimmäismäärä]]</f>
        <v>95</v>
      </c>
      <c r="H95" s="41">
        <v>1427</v>
      </c>
      <c r="I95" s="15">
        <f>IFERROR(VLOOKUP($A95,'2.1 Toteut. op.vuodet'!$A:$T,COLUMN('2.1 Toteut. op.vuodet'!T:T),FALSE),0)</f>
        <v>0.86550679192235502</v>
      </c>
      <c r="J95" s="81">
        <f t="shared" si="2"/>
        <v>1235.0999999999999</v>
      </c>
      <c r="K95" s="16">
        <f>IFERROR(Ohj.lask.[[#This Row],[Painotetut opiskelija-vuodet]]/Ohj.lask.[[#Totals],[Painotetut opiskelija-vuodet]],0)</f>
        <v>6.0316099138941438E-3</v>
      </c>
      <c r="L95" s="17">
        <f>ROUND(IFERROR('1.1 Jakotaulu'!L$11*Ohj.lask.[[#This Row],[%-osuus 1]],0),0)</f>
        <v>7596638</v>
      </c>
      <c r="M95" s="186">
        <f>IFERROR(ROUND(VLOOKUP($A95,'2.2 Tutk. ja osien pain. pist.'!$A:$Q,COLUMN('2.2 Tutk. ja osien pain. pist.'!P:P),FALSE),1),0)</f>
        <v>124405.6</v>
      </c>
      <c r="N95" s="16">
        <f>IFERROR(Ohj.lask.[[#This Row],[Painotetut pisteet 2]]/Ohj.lask.[[#Totals],[Painotetut pisteet 2]],0)</f>
        <v>7.9863492472838724E-3</v>
      </c>
      <c r="O95" s="23">
        <f>ROUND(IFERROR('1.1 Jakotaulu'!K$12*Ohj.lask.[[#This Row],[%-osuus 2]],0),0)</f>
        <v>2932444</v>
      </c>
      <c r="P95" s="187">
        <f>IFERROR(ROUND(VLOOKUP($A95,'2.3 Työll. ja jatko-opisk.'!$A:$K,COLUMN('2.3 Työll. ja jatko-opisk.'!I:I),FALSE),1),0)</f>
        <v>1619.4</v>
      </c>
      <c r="Q95" s="16">
        <f>IFERROR(Ohj.lask.[[#This Row],[Painotetut pisteet 3]]/Ohj.lask.[[#Totals],[Painotetut pisteet 3]],0)</f>
        <v>8.1367521023962604E-3</v>
      </c>
      <c r="R95" s="17">
        <f>ROUND(IFERROR('1.1 Jakotaulu'!L$14*Ohj.lask.[[#This Row],[%-osuus 3]],0),0)</f>
        <v>1120376</v>
      </c>
      <c r="S95" s="186">
        <f>IFERROR(ROUND(VLOOKUP($A95,'2.4 Aloittaneet palaute'!$A:$K,COLUMN('2.4 Aloittaneet palaute'!J:J),FALSE),1),0)</f>
        <v>13877.9</v>
      </c>
      <c r="T95" s="20">
        <f>IFERROR(Ohj.lask.[[#This Row],[Painotetut pisteet 4]]/Ohj.lask.[[#Totals],[Painotetut pisteet 4]],0)</f>
        <v>8.4310088153217271E-3</v>
      </c>
      <c r="U95" s="23">
        <f>ROUND(IFERROR('1.1 Jakotaulu'!M$16*Ohj.lask.[[#This Row],[%-osuus 4]],0),0)</f>
        <v>96741</v>
      </c>
      <c r="V95" s="81">
        <f>IFERROR(ROUND(VLOOKUP($A95,'2.5 Päättäneet palaute'!$A:$AC,COLUMN('2.5 Päättäneet palaute'!AB:AB),FALSE),1),0)</f>
        <v>92149.7</v>
      </c>
      <c r="W95" s="20">
        <f>IFERROR(Ohj.lask.[[#This Row],[Painotetut pisteet 5]]/Ohj.lask.[[#Totals],[Painotetut pisteet 5]],0)</f>
        <v>1.0688455706477789E-2</v>
      </c>
      <c r="X95" s="17">
        <f>ROUND(IFERROR('1.1 Jakotaulu'!M$17*Ohj.lask.[[#This Row],[%-osuus 5]],0),0)</f>
        <v>367932</v>
      </c>
      <c r="Y95" s="19">
        <f>IFERROR(Ohj.lask.[[#This Row],[Jaettava € 6]]/Ohj.lask.[[#Totals],[Jaettava € 6]],"")</f>
        <v>6.6919878976381686E-3</v>
      </c>
      <c r="Z95" s="23">
        <f>IFERROR(Ohj.lask.[[#This Row],[Jaettava € 1]]+Ohj.lask.[[#This Row],[Jaettava € 2]]+Ohj.lask.[[#This Row],[Jaettava € 3]]+Ohj.lask.[[#This Row],[Jaettava € 4]]+Ohj.lask.[[#This Row],[Jaettava € 5]],"")</f>
        <v>12114131</v>
      </c>
      <c r="AA95" s="17">
        <v>0</v>
      </c>
      <c r="AB95" s="17">
        <v>0</v>
      </c>
      <c r="AC95" s="18">
        <v>0</v>
      </c>
      <c r="AD95" s="17">
        <v>0</v>
      </c>
      <c r="AE95" s="18">
        <v>0</v>
      </c>
      <c r="AF95" s="17">
        <v>0</v>
      </c>
      <c r="AG95" s="18">
        <v>0</v>
      </c>
      <c r="AH95" s="17">
        <v>0</v>
      </c>
      <c r="AI95" s="18">
        <v>0</v>
      </c>
      <c r="AJ95" s="17">
        <v>0</v>
      </c>
      <c r="AK95" s="18">
        <v>484129</v>
      </c>
      <c r="AL95" s="17">
        <v>0</v>
      </c>
      <c r="AM95" s="18">
        <v>80000</v>
      </c>
      <c r="AN95" s="23">
        <v>80000</v>
      </c>
      <c r="AO95" s="17">
        <v>101100</v>
      </c>
      <c r="AP95" s="17">
        <v>56000</v>
      </c>
      <c r="AQ95" s="18">
        <f>IFERROR(VLOOKUP(Ohj.lask.[[#This Row],[Y-tunnus]],#REF!,COLUMN(#REF!),FALSE),0)</f>
        <v>0</v>
      </c>
      <c r="AR95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136000</v>
      </c>
      <c r="AS95" s="17">
        <f>Ohj.lask.[[#This Row],[Jaettava € 1]]+Ohj.lask.[[#This Row],[Päätös, € 9]]</f>
        <v>7732638</v>
      </c>
      <c r="AT95" s="113">
        <f>Ohj.lask.[[#This Row],[Jaettava € 2]]</f>
        <v>2932444</v>
      </c>
      <c r="AU95" s="17">
        <f>Ohj.lask.[[#This Row],[Jaettava € 3]]+Ohj.lask.[[#This Row],[Jaettava € 4]]+Ohj.lask.[[#This Row],[Jaettava € 5]]</f>
        <v>1585049</v>
      </c>
      <c r="AV95" s="42">
        <f>Ohj.lask.[[#This Row],[Jaettava € 6]]+Ohj.lask.[[#This Row],[Päätös, € 9]]</f>
        <v>12250131</v>
      </c>
      <c r="AW95" s="42">
        <v>696134</v>
      </c>
      <c r="AX95" s="23">
        <f>Ohj.lask.[[#This Row],[Perus-, suoritus- ja vaikuttavuusrahoitus yhteensä, €]]+Ohj.lask.[[#This Row],[Alv-korvaus, €]]</f>
        <v>12946265</v>
      </c>
    </row>
    <row r="96" spans="1:50" ht="12.75" x14ac:dyDescent="0.2">
      <c r="A96" s="134" t="s">
        <v>289</v>
      </c>
      <c r="B96" s="14" t="s">
        <v>95</v>
      </c>
      <c r="C96" s="14" t="s">
        <v>274</v>
      </c>
      <c r="D96" s="14" t="s">
        <v>392</v>
      </c>
      <c r="E96" s="14" t="s">
        <v>438</v>
      </c>
      <c r="F96" s="117">
        <v>64</v>
      </c>
      <c r="G96" s="124">
        <f>Ohj.lask.[[#This Row],[Tavoitteelliset opiskelija-vuodet]]-Ohj.lask.[[#This Row],[Järjestämisluvan opisk.vuosien vähimmäismäärä]]</f>
        <v>23</v>
      </c>
      <c r="H96" s="41">
        <v>87</v>
      </c>
      <c r="I96" s="15">
        <f>IFERROR(VLOOKUP($A96,'2.1 Toteut. op.vuodet'!$A:$T,COLUMN('2.1 Toteut. op.vuodet'!T:T),FALSE),0)</f>
        <v>1.0863052027809974</v>
      </c>
      <c r="J96" s="81">
        <f t="shared" si="2"/>
        <v>94.5</v>
      </c>
      <c r="K96" s="16">
        <f>IFERROR(Ohj.lask.[[#This Row],[Painotetut opiskelija-vuodet]]/Ohj.lask.[[#Totals],[Painotetut opiskelija-vuodet]],0)</f>
        <v>4.6149067837664696E-4</v>
      </c>
      <c r="L96" s="17">
        <f>ROUND(IFERROR('1.1 Jakotaulu'!L$11*Ohj.lask.[[#This Row],[%-osuus 1]],0),0)</f>
        <v>581234</v>
      </c>
      <c r="M96" s="186">
        <f>IFERROR(ROUND(VLOOKUP($A96,'2.2 Tutk. ja osien pain. pist.'!$A:$Q,COLUMN('2.2 Tutk. ja osien pain. pist.'!P:P),FALSE),1),0)</f>
        <v>5159.1000000000004</v>
      </c>
      <c r="N96" s="16">
        <f>IFERROR(Ohj.lask.[[#This Row],[Painotetut pisteet 2]]/Ohj.lask.[[#Totals],[Painotetut pisteet 2]],0)</f>
        <v>3.3119388839137649E-4</v>
      </c>
      <c r="O96" s="23">
        <f>ROUND(IFERROR('1.1 Jakotaulu'!K$12*Ohj.lask.[[#This Row],[%-osuus 2]],0),0)</f>
        <v>121608</v>
      </c>
      <c r="P96" s="187">
        <f>IFERROR(ROUND(VLOOKUP($A96,'2.3 Työll. ja jatko-opisk.'!$A:$K,COLUMN('2.3 Työll. ja jatko-opisk.'!I:I),FALSE),1),0)</f>
        <v>89.7</v>
      </c>
      <c r="Q96" s="16">
        <f>IFERROR(Ohj.lask.[[#This Row],[Painotetut pisteet 3]]/Ohj.lask.[[#Totals],[Painotetut pisteet 3]],0)</f>
        <v>4.5070190415273838E-4</v>
      </c>
      <c r="R96" s="17">
        <f>ROUND(IFERROR('1.1 Jakotaulu'!L$14*Ohj.lask.[[#This Row],[%-osuus 3]],0),0)</f>
        <v>62059</v>
      </c>
      <c r="S96" s="186">
        <f>IFERROR(ROUND(VLOOKUP($A96,'2.4 Aloittaneet palaute'!$A:$K,COLUMN('2.4 Aloittaneet palaute'!J:J),FALSE),1),0)</f>
        <v>818.8</v>
      </c>
      <c r="T96" s="20">
        <f>IFERROR(Ohj.lask.[[#This Row],[Painotetut pisteet 4]]/Ohj.lask.[[#Totals],[Painotetut pisteet 4]],0)</f>
        <v>4.9743188940584888E-4</v>
      </c>
      <c r="U96" s="23">
        <f>ROUND(IFERROR('1.1 Jakotaulu'!M$16*Ohj.lask.[[#This Row],[%-osuus 4]],0),0)</f>
        <v>5708</v>
      </c>
      <c r="V96" s="81">
        <f>IFERROR(ROUND(VLOOKUP($A96,'2.5 Päättäneet palaute'!$A:$AC,COLUMN('2.5 Päättäneet palaute'!AB:AB),FALSE),1),0)</f>
        <v>1780.4</v>
      </c>
      <c r="W96" s="20">
        <f>IFERROR(Ohj.lask.[[#This Row],[Painotetut pisteet 5]]/Ohj.lask.[[#Totals],[Painotetut pisteet 5]],0)</f>
        <v>2.0650882791602206E-4</v>
      </c>
      <c r="X96" s="17">
        <f>ROUND(IFERROR('1.1 Jakotaulu'!M$17*Ohj.lask.[[#This Row],[%-osuus 5]],0),0)</f>
        <v>7109</v>
      </c>
      <c r="Y96" s="19">
        <f>IFERROR(Ohj.lask.[[#This Row],[Jaettava € 6]]/Ohj.lask.[[#Totals],[Jaettava € 6]],"")</f>
        <v>4.2962053520598063E-4</v>
      </c>
      <c r="Z96" s="23">
        <f>IFERROR(Ohj.lask.[[#This Row],[Jaettava € 1]]+Ohj.lask.[[#This Row],[Jaettava € 2]]+Ohj.lask.[[#This Row],[Jaettava € 3]]+Ohj.lask.[[#This Row],[Jaettava € 4]]+Ohj.lask.[[#This Row],[Jaettava € 5]],"")</f>
        <v>777718</v>
      </c>
      <c r="AA96" s="17">
        <v>0</v>
      </c>
      <c r="AB96" s="17">
        <v>0</v>
      </c>
      <c r="AC96" s="18">
        <v>0</v>
      </c>
      <c r="AD96" s="17">
        <v>0</v>
      </c>
      <c r="AE96" s="18">
        <v>0</v>
      </c>
      <c r="AF96" s="17">
        <v>0</v>
      </c>
      <c r="AG96" s="18">
        <v>0</v>
      </c>
      <c r="AH96" s="17">
        <v>0</v>
      </c>
      <c r="AI96" s="18">
        <v>0</v>
      </c>
      <c r="AJ96" s="17">
        <v>0</v>
      </c>
      <c r="AK96" s="18">
        <v>0</v>
      </c>
      <c r="AL96" s="17">
        <v>0</v>
      </c>
      <c r="AM96" s="18">
        <v>0</v>
      </c>
      <c r="AN96" s="23">
        <v>0</v>
      </c>
      <c r="AO96" s="17">
        <v>0</v>
      </c>
      <c r="AP96" s="17">
        <v>0</v>
      </c>
      <c r="AQ96" s="18">
        <f>IFERROR(VLOOKUP(Ohj.lask.[[#This Row],[Y-tunnus]],#REF!,COLUMN(#REF!),FALSE),0)</f>
        <v>0</v>
      </c>
      <c r="AR96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96" s="17">
        <f>Ohj.lask.[[#This Row],[Jaettava € 1]]+Ohj.lask.[[#This Row],[Päätös, € 9]]</f>
        <v>581234</v>
      </c>
      <c r="AT96" s="113">
        <f>Ohj.lask.[[#This Row],[Jaettava € 2]]</f>
        <v>121608</v>
      </c>
      <c r="AU96" s="17">
        <f>Ohj.lask.[[#This Row],[Jaettava € 3]]+Ohj.lask.[[#This Row],[Jaettava € 4]]+Ohj.lask.[[#This Row],[Jaettava € 5]]</f>
        <v>74876</v>
      </c>
      <c r="AV96" s="42">
        <f>Ohj.lask.[[#This Row],[Jaettava € 6]]+Ohj.lask.[[#This Row],[Päätös, € 9]]</f>
        <v>777718</v>
      </c>
      <c r="AW96" s="42">
        <v>37983</v>
      </c>
      <c r="AX96" s="23">
        <f>Ohj.lask.[[#This Row],[Perus-, suoritus- ja vaikuttavuusrahoitus yhteensä, €]]+Ohj.lask.[[#This Row],[Alv-korvaus, €]]</f>
        <v>815701</v>
      </c>
    </row>
    <row r="97" spans="1:50" ht="12.75" x14ac:dyDescent="0.2">
      <c r="A97" s="134" t="s">
        <v>296</v>
      </c>
      <c r="B97" s="14" t="s">
        <v>96</v>
      </c>
      <c r="C97" s="14" t="s">
        <v>295</v>
      </c>
      <c r="D97" s="14" t="s">
        <v>391</v>
      </c>
      <c r="E97" s="14" t="s">
        <v>438</v>
      </c>
      <c r="F97" s="117">
        <v>4815</v>
      </c>
      <c r="G97" s="124">
        <f>Ohj.lask.[[#This Row],[Tavoitteelliset opiskelija-vuodet]]-Ohj.lask.[[#This Row],[Järjestämisluvan opisk.vuosien vähimmäismäärä]]</f>
        <v>484</v>
      </c>
      <c r="H97" s="41">
        <v>5299</v>
      </c>
      <c r="I97" s="15">
        <f>IFERROR(VLOOKUP($A97,'2.1 Toteut. op.vuodet'!$A:$T,COLUMN('2.1 Toteut. op.vuodet'!T:T),FALSE),0)</f>
        <v>1.1146589628151606</v>
      </c>
      <c r="J97" s="81">
        <f t="shared" si="2"/>
        <v>5906.6</v>
      </c>
      <c r="K97" s="16">
        <f>IFERROR(Ohj.lask.[[#This Row],[Painotetut opiskelija-vuodet]]/Ohj.lask.[[#Totals],[Painotetut opiskelija-vuodet]],0)</f>
        <v>2.8844876623275166E-2</v>
      </c>
      <c r="L97" s="17">
        <f>ROUND(IFERROR('1.1 Jakotaulu'!L$11*Ohj.lask.[[#This Row],[%-osuus 1]],0),0)</f>
        <v>36329286</v>
      </c>
      <c r="M97" s="186">
        <f>IFERROR(ROUND(VLOOKUP($A97,'2.2 Tutk. ja osien pain. pist.'!$A:$Q,COLUMN('2.2 Tutk. ja osien pain. pist.'!P:P),FALSE),1),0)</f>
        <v>448345.5</v>
      </c>
      <c r="N97" s="16">
        <f>IFERROR(Ohj.lask.[[#This Row],[Painotetut pisteet 2]]/Ohj.lask.[[#Totals],[Painotetut pisteet 2]],0)</f>
        <v>2.8782014205535049E-2</v>
      </c>
      <c r="O97" s="23">
        <f>ROUND(IFERROR('1.1 Jakotaulu'!K$12*Ohj.lask.[[#This Row],[%-osuus 2]],0),0)</f>
        <v>10568238</v>
      </c>
      <c r="P97" s="187">
        <f>IFERROR(ROUND(VLOOKUP($A97,'2.3 Työll. ja jatko-opisk.'!$A:$K,COLUMN('2.3 Työll. ja jatko-opisk.'!I:I),FALSE),1),0)</f>
        <v>6058</v>
      </c>
      <c r="Q97" s="16">
        <f>IFERROR(Ohj.lask.[[#This Row],[Painotetut pisteet 3]]/Ohj.lask.[[#Totals],[Painotetut pisteet 3]],0)</f>
        <v>3.0438708309445808E-2</v>
      </c>
      <c r="R97" s="17">
        <f>ROUND(IFERROR('1.1 Jakotaulu'!L$14*Ohj.lask.[[#This Row],[%-osuus 3]],0),0)</f>
        <v>4191205</v>
      </c>
      <c r="S97" s="186">
        <f>IFERROR(ROUND(VLOOKUP($A97,'2.4 Aloittaneet palaute'!$A:$K,COLUMN('2.4 Aloittaneet palaute'!J:J),FALSE),1),0)</f>
        <v>31734.6</v>
      </c>
      <c r="T97" s="20">
        <f>IFERROR(Ohj.lask.[[#This Row],[Painotetut pisteet 4]]/Ohj.lask.[[#Totals],[Painotetut pisteet 4]],0)</f>
        <v>1.9279191545601919E-2</v>
      </c>
      <c r="U97" s="23">
        <f>ROUND(IFERROR('1.1 Jakotaulu'!M$16*Ohj.lask.[[#This Row],[%-osuus 4]],0),0)</f>
        <v>221218</v>
      </c>
      <c r="V97" s="81">
        <f>IFERROR(ROUND(VLOOKUP($A97,'2.5 Päättäneet palaute'!$A:$AC,COLUMN('2.5 Päättäneet palaute'!AB:AB),FALSE),1),0)</f>
        <v>171849.5</v>
      </c>
      <c r="W97" s="20">
        <f>IFERROR(Ohj.lask.[[#This Row],[Painotetut pisteet 5]]/Ohj.lask.[[#Totals],[Painotetut pisteet 5]],0)</f>
        <v>1.9932845890223788E-2</v>
      </c>
      <c r="X97" s="17">
        <f>ROUND(IFERROR('1.1 Jakotaulu'!M$17*Ohj.lask.[[#This Row],[%-osuus 5]],0),0)</f>
        <v>686155</v>
      </c>
      <c r="Y97" s="19">
        <f>IFERROR(Ohj.lask.[[#This Row],[Jaettava € 6]]/Ohj.lask.[[#Totals],[Jaettava € 6]],"")</f>
        <v>2.8723255948640457E-2</v>
      </c>
      <c r="Z97" s="23">
        <f>IFERROR(Ohj.lask.[[#This Row],[Jaettava € 1]]+Ohj.lask.[[#This Row],[Jaettava € 2]]+Ohj.lask.[[#This Row],[Jaettava € 3]]+Ohj.lask.[[#This Row],[Jaettava € 4]]+Ohj.lask.[[#This Row],[Jaettava € 5]],"")</f>
        <v>51996102</v>
      </c>
      <c r="AA97" s="17">
        <v>0</v>
      </c>
      <c r="AB97" s="17">
        <v>0</v>
      </c>
      <c r="AC97" s="18">
        <v>0</v>
      </c>
      <c r="AD97" s="17">
        <v>0</v>
      </c>
      <c r="AE97" s="18">
        <v>0</v>
      </c>
      <c r="AF97" s="17">
        <v>0</v>
      </c>
      <c r="AG97" s="18">
        <v>600000</v>
      </c>
      <c r="AH97" s="17">
        <v>0</v>
      </c>
      <c r="AI97" s="18">
        <v>0</v>
      </c>
      <c r="AJ97" s="17">
        <v>0</v>
      </c>
      <c r="AK97" s="18">
        <v>0</v>
      </c>
      <c r="AL97" s="17">
        <v>0</v>
      </c>
      <c r="AM97" s="18">
        <v>200000</v>
      </c>
      <c r="AN97" s="23">
        <v>120000</v>
      </c>
      <c r="AO97" s="17">
        <v>0</v>
      </c>
      <c r="AP97" s="17">
        <v>0</v>
      </c>
      <c r="AQ97" s="18">
        <f>IFERROR(VLOOKUP(Ohj.lask.[[#This Row],[Y-tunnus]],#REF!,COLUMN(#REF!),FALSE),0)</f>
        <v>0</v>
      </c>
      <c r="AR97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120000</v>
      </c>
      <c r="AS97" s="17">
        <f>Ohj.lask.[[#This Row],[Jaettava € 1]]+Ohj.lask.[[#This Row],[Päätös, € 9]]</f>
        <v>36449286</v>
      </c>
      <c r="AT97" s="113">
        <f>Ohj.lask.[[#This Row],[Jaettava € 2]]</f>
        <v>10568238</v>
      </c>
      <c r="AU97" s="17">
        <f>Ohj.lask.[[#This Row],[Jaettava € 3]]+Ohj.lask.[[#This Row],[Jaettava € 4]]+Ohj.lask.[[#This Row],[Jaettava € 5]]</f>
        <v>5098578</v>
      </c>
      <c r="AV97" s="42">
        <f>Ohj.lask.[[#This Row],[Jaettava € 6]]+Ohj.lask.[[#This Row],[Päätös, € 9]]</f>
        <v>52116102</v>
      </c>
      <c r="AW97" s="42">
        <v>0</v>
      </c>
      <c r="AX97" s="23">
        <f>Ohj.lask.[[#This Row],[Perus-, suoritus- ja vaikuttavuusrahoitus yhteensä, €]]+Ohj.lask.[[#This Row],[Alv-korvaus, €]]</f>
        <v>52116102</v>
      </c>
    </row>
    <row r="98" spans="1:50" ht="12.75" x14ac:dyDescent="0.2">
      <c r="A98" s="134" t="s">
        <v>286</v>
      </c>
      <c r="B98" s="14" t="s">
        <v>97</v>
      </c>
      <c r="C98" s="107" t="s">
        <v>265</v>
      </c>
      <c r="D98" s="107" t="s">
        <v>392</v>
      </c>
      <c r="E98" s="107" t="s">
        <v>438</v>
      </c>
      <c r="F98" s="116">
        <v>117</v>
      </c>
      <c r="G98" s="124">
        <f>Ohj.lask.[[#This Row],[Tavoitteelliset opiskelija-vuodet]]-Ohj.lask.[[#This Row],[Järjestämisluvan opisk.vuosien vähimmäismäärä]]</f>
        <v>3</v>
      </c>
      <c r="H98" s="41">
        <v>120</v>
      </c>
      <c r="I98" s="15">
        <f>IFERROR(VLOOKUP($A98,'2.1 Toteut. op.vuodet'!$A:$T,COLUMN('2.1 Toteut. op.vuodet'!T:T),FALSE),0)</f>
        <v>0.91224789029536169</v>
      </c>
      <c r="J98" s="81">
        <f t="shared" si="2"/>
        <v>109.5</v>
      </c>
      <c r="K98" s="16">
        <f>IFERROR(Ohj.lask.[[#This Row],[Painotetut opiskelija-vuodet]]/Ohj.lask.[[#Totals],[Painotetut opiskelija-vuodet]],0)</f>
        <v>5.3474316700786073E-4</v>
      </c>
      <c r="L98" s="17">
        <f>ROUND(IFERROR('1.1 Jakotaulu'!L$11*Ohj.lask.[[#This Row],[%-osuus 1]],0),0)</f>
        <v>673494</v>
      </c>
      <c r="M98" s="186">
        <f>IFERROR(ROUND(VLOOKUP($A98,'2.2 Tutk. ja osien pain. pist.'!$A:$Q,COLUMN('2.2 Tutk. ja osien pain. pist.'!P:P),FALSE),1),0)</f>
        <v>12725</v>
      </c>
      <c r="N98" s="16">
        <f>IFERROR(Ohj.lask.[[#This Row],[Painotetut pisteet 2]]/Ohj.lask.[[#Totals],[Painotetut pisteet 2]],0)</f>
        <v>8.168948517726474E-4</v>
      </c>
      <c r="O98" s="23">
        <f>ROUND(IFERROR('1.1 Jakotaulu'!K$12*Ohj.lask.[[#This Row],[%-osuus 2]],0),0)</f>
        <v>299949</v>
      </c>
      <c r="P98" s="187">
        <f>IFERROR(ROUND(VLOOKUP($A98,'2.3 Työll. ja jatko-opisk.'!$A:$K,COLUMN('2.3 Työll. ja jatko-opisk.'!I:I),FALSE),1),0)</f>
        <v>108.3</v>
      </c>
      <c r="Q98" s="20">
        <f>IFERROR(Ohj.lask.[[#This Row],[Painotetut pisteet 3]]/Ohj.lask.[[#Totals],[Painotetut pisteet 3]],0)</f>
        <v>5.4415848628474423E-4</v>
      </c>
      <c r="R98" s="17">
        <f>ROUND(IFERROR('1.1 Jakotaulu'!L$14*Ohj.lask.[[#This Row],[%-osuus 3]],0),0)</f>
        <v>74927</v>
      </c>
      <c r="S98" s="186">
        <f>IFERROR(ROUND(VLOOKUP($A98,'2.4 Aloittaneet palaute'!$A:$K,COLUMN('2.4 Aloittaneet palaute'!J:J),FALSE),1),0)</f>
        <v>1883.4</v>
      </c>
      <c r="T98" s="20">
        <f>IFERROR(Ohj.lask.[[#This Row],[Painotetut pisteet 4]]/Ohj.lask.[[#Totals],[Painotetut pisteet 4]],0)</f>
        <v>1.1441905477613285E-3</v>
      </c>
      <c r="U98" s="23">
        <f>ROUND(IFERROR('1.1 Jakotaulu'!M$16*Ohj.lask.[[#This Row],[%-osuus 4]],0),0)</f>
        <v>13129</v>
      </c>
      <c r="V98" s="81">
        <f>IFERROR(ROUND(VLOOKUP($A98,'2.5 Päättäneet palaute'!$A:$AC,COLUMN('2.5 Päättäneet palaute'!AB:AB),FALSE),1),0)</f>
        <v>6653.1</v>
      </c>
      <c r="W98" s="20">
        <f>IFERROR(Ohj.lask.[[#This Row],[Painotetut pisteet 5]]/Ohj.lask.[[#Totals],[Painotetut pisteet 5]],0)</f>
        <v>7.7169393563698407E-4</v>
      </c>
      <c r="X98" s="17">
        <f>ROUND(IFERROR('1.1 Jakotaulu'!M$17*Ohj.lask.[[#This Row],[%-osuus 5]],0),0)</f>
        <v>26564</v>
      </c>
      <c r="Y98" s="19">
        <f>IFERROR(Ohj.lask.[[#This Row],[Jaettava € 6]]/Ohj.lask.[[#Totals],[Jaettava € 6]],"")</f>
        <v>6.0105874931250778E-4</v>
      </c>
      <c r="Z98" s="23">
        <f>IFERROR(Ohj.lask.[[#This Row],[Jaettava € 1]]+Ohj.lask.[[#This Row],[Jaettava € 2]]+Ohj.lask.[[#This Row],[Jaettava € 3]]+Ohj.lask.[[#This Row],[Jaettava € 4]]+Ohj.lask.[[#This Row],[Jaettava € 5]],"")</f>
        <v>1088063</v>
      </c>
      <c r="AA98" s="17">
        <v>0</v>
      </c>
      <c r="AB98" s="17">
        <v>0</v>
      </c>
      <c r="AC98" s="18">
        <v>0</v>
      </c>
      <c r="AD98" s="17">
        <v>0</v>
      </c>
      <c r="AE98" s="18">
        <v>0</v>
      </c>
      <c r="AF98" s="17">
        <v>0</v>
      </c>
      <c r="AG98" s="18">
        <v>0</v>
      </c>
      <c r="AH98" s="17">
        <v>0</v>
      </c>
      <c r="AI98" s="18">
        <v>0</v>
      </c>
      <c r="AJ98" s="17">
        <v>0</v>
      </c>
      <c r="AK98" s="18">
        <v>0</v>
      </c>
      <c r="AL98" s="17">
        <v>0</v>
      </c>
      <c r="AM98" s="18">
        <v>0</v>
      </c>
      <c r="AN98" s="23">
        <v>0</v>
      </c>
      <c r="AO98" s="17">
        <v>0</v>
      </c>
      <c r="AP98" s="17">
        <v>0</v>
      </c>
      <c r="AQ98" s="18">
        <f>IFERROR(VLOOKUP(Ohj.lask.[[#This Row],[Y-tunnus]],#REF!,COLUMN(#REF!),FALSE),0)</f>
        <v>0</v>
      </c>
      <c r="AR98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98" s="17">
        <f>Ohj.lask.[[#This Row],[Jaettava € 1]]+Ohj.lask.[[#This Row],[Päätös, € 9]]</f>
        <v>673494</v>
      </c>
      <c r="AT98" s="113">
        <f>Ohj.lask.[[#This Row],[Jaettava € 2]]</f>
        <v>299949</v>
      </c>
      <c r="AU98" s="17">
        <f>Ohj.lask.[[#This Row],[Jaettava € 3]]+Ohj.lask.[[#This Row],[Jaettava € 4]]+Ohj.lask.[[#This Row],[Jaettava € 5]]</f>
        <v>114620</v>
      </c>
      <c r="AV98" s="42">
        <f>Ohj.lask.[[#This Row],[Jaettava € 6]]+Ohj.lask.[[#This Row],[Päätös, € 9]]</f>
        <v>1088063</v>
      </c>
      <c r="AW98" s="42">
        <v>52771</v>
      </c>
      <c r="AX98" s="23">
        <f>Ohj.lask.[[#This Row],[Perus-, suoritus- ja vaikuttavuusrahoitus yhteensä, €]]+Ohj.lask.[[#This Row],[Alv-korvaus, €]]</f>
        <v>1140834</v>
      </c>
    </row>
    <row r="99" spans="1:50" ht="12.75" x14ac:dyDescent="0.2">
      <c r="A99" s="134" t="s">
        <v>285</v>
      </c>
      <c r="B99" s="14" t="s">
        <v>98</v>
      </c>
      <c r="C99" s="14" t="s">
        <v>220</v>
      </c>
      <c r="D99" s="14" t="s">
        <v>392</v>
      </c>
      <c r="E99" s="14" t="s">
        <v>438</v>
      </c>
      <c r="F99" s="117">
        <v>48</v>
      </c>
      <c r="G99" s="124">
        <f>Ohj.lask.[[#This Row],[Tavoitteelliset opiskelija-vuodet]]-Ohj.lask.[[#This Row],[Järjestämisluvan opisk.vuosien vähimmäismäärä]]</f>
        <v>4</v>
      </c>
      <c r="H99" s="41">
        <v>52</v>
      </c>
      <c r="I99" s="15">
        <f>IFERROR(VLOOKUP($A99,'2.1 Toteut. op.vuodet'!$A:$T,COLUMN('2.1 Toteut. op.vuodet'!T:T),FALSE),0)</f>
        <v>1.1202553755692617</v>
      </c>
      <c r="J99" s="81">
        <f t="shared" si="2"/>
        <v>58.3</v>
      </c>
      <c r="K99" s="16">
        <f>IFERROR(Ohj.lask.[[#This Row],[Painotetut opiskelija-vuodet]]/Ohj.lask.[[#Totals],[Painotetut opiskelija-vuodet]],0)</f>
        <v>2.8470800581331765E-4</v>
      </c>
      <c r="L99" s="17">
        <f>ROUND(IFERROR('1.1 Jakotaulu'!L$11*Ohj.lask.[[#This Row],[%-osuus 1]],0),0)</f>
        <v>358581</v>
      </c>
      <c r="M99" s="186">
        <f>IFERROR(ROUND(VLOOKUP($A99,'2.2 Tutk. ja osien pain. pist.'!$A:$Q,COLUMN('2.2 Tutk. ja osien pain. pist.'!P:P),FALSE),1),0)</f>
        <v>4700.5</v>
      </c>
      <c r="N99" s="16">
        <f>IFERROR(Ohj.lask.[[#This Row],[Painotetut pisteet 2]]/Ohj.lask.[[#Totals],[Painotetut pisteet 2]],0)</f>
        <v>3.0175357569802195E-4</v>
      </c>
      <c r="O99" s="23">
        <f>ROUND(IFERROR('1.1 Jakotaulu'!K$12*Ohj.lask.[[#This Row],[%-osuus 2]],0),0)</f>
        <v>110798</v>
      </c>
      <c r="P99" s="187">
        <f>IFERROR(ROUND(VLOOKUP($A99,'2.3 Työll. ja jatko-opisk.'!$A:$K,COLUMN('2.3 Työll. ja jatko-opisk.'!I:I),FALSE),1),0)</f>
        <v>66.3</v>
      </c>
      <c r="Q99" s="16">
        <f>IFERROR(Ohj.lask.[[#This Row],[Painotetut pisteet 3]]/Ohj.lask.[[#Totals],[Painotetut pisteet 3]],0)</f>
        <v>3.3312749437376313E-4</v>
      </c>
      <c r="R99" s="17">
        <f>ROUND(IFERROR('1.1 Jakotaulu'!L$14*Ohj.lask.[[#This Row],[%-osuus 3]],0),0)</f>
        <v>45869</v>
      </c>
      <c r="S99" s="186">
        <f>IFERROR(ROUND(VLOOKUP($A99,'2.4 Aloittaneet palaute'!$A:$K,COLUMN('2.4 Aloittaneet palaute'!J:J),FALSE),1),0)</f>
        <v>478</v>
      </c>
      <c r="T99" s="20">
        <f>IFERROR(Ohj.lask.[[#This Row],[Painotetut pisteet 4]]/Ohj.lask.[[#Totals],[Painotetut pisteet 4]],0)</f>
        <v>2.9039135702979454E-4</v>
      </c>
      <c r="U99" s="23">
        <f>ROUND(IFERROR('1.1 Jakotaulu'!M$16*Ohj.lask.[[#This Row],[%-osuus 4]],0),0)</f>
        <v>3332</v>
      </c>
      <c r="V99" s="81">
        <f>IFERROR(ROUND(VLOOKUP($A99,'2.5 Päättäneet palaute'!$A:$AC,COLUMN('2.5 Päättäneet palaute'!AB:AB),FALSE),1),0)</f>
        <v>2653.4</v>
      </c>
      <c r="W99" s="20">
        <f>IFERROR(Ohj.lask.[[#This Row],[Painotetut pisteet 5]]/Ohj.lask.[[#Totals],[Painotetut pisteet 5]],0)</f>
        <v>3.077682116335503E-4</v>
      </c>
      <c r="X99" s="17">
        <f>ROUND(IFERROR('1.1 Jakotaulu'!M$17*Ohj.lask.[[#This Row],[%-osuus 5]],0),0)</f>
        <v>10594</v>
      </c>
      <c r="Y99" s="19">
        <f>IFERROR(Ohj.lask.[[#This Row],[Jaettava € 6]]/Ohj.lask.[[#Totals],[Jaettava € 6]],"")</f>
        <v>2.9232191758078068E-4</v>
      </c>
      <c r="Z99" s="23">
        <f>IFERROR(Ohj.lask.[[#This Row],[Jaettava € 1]]+Ohj.lask.[[#This Row],[Jaettava € 2]]+Ohj.lask.[[#This Row],[Jaettava € 3]]+Ohj.lask.[[#This Row],[Jaettava € 4]]+Ohj.lask.[[#This Row],[Jaettava € 5]],"")</f>
        <v>529174</v>
      </c>
      <c r="AA99" s="17">
        <v>0</v>
      </c>
      <c r="AB99" s="17">
        <v>0</v>
      </c>
      <c r="AC99" s="18">
        <v>0</v>
      </c>
      <c r="AD99" s="17">
        <v>0</v>
      </c>
      <c r="AE99" s="18">
        <v>0</v>
      </c>
      <c r="AF99" s="17">
        <v>0</v>
      </c>
      <c r="AG99" s="18">
        <v>0</v>
      </c>
      <c r="AH99" s="17">
        <v>0</v>
      </c>
      <c r="AI99" s="18">
        <v>0</v>
      </c>
      <c r="AJ99" s="17">
        <v>0</v>
      </c>
      <c r="AK99" s="18">
        <v>0</v>
      </c>
      <c r="AL99" s="17">
        <v>0</v>
      </c>
      <c r="AM99" s="18">
        <v>12000</v>
      </c>
      <c r="AN99" s="23">
        <v>10000</v>
      </c>
      <c r="AO99" s="17">
        <v>0</v>
      </c>
      <c r="AP99" s="17">
        <v>0</v>
      </c>
      <c r="AQ99" s="18">
        <f>IFERROR(VLOOKUP(Ohj.lask.[[#This Row],[Y-tunnus]],#REF!,COLUMN(#REF!),FALSE),0)</f>
        <v>0</v>
      </c>
      <c r="AR99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10000</v>
      </c>
      <c r="AS99" s="17">
        <f>Ohj.lask.[[#This Row],[Jaettava € 1]]+Ohj.lask.[[#This Row],[Päätös, € 9]]</f>
        <v>368581</v>
      </c>
      <c r="AT99" s="113">
        <f>Ohj.lask.[[#This Row],[Jaettava € 2]]</f>
        <v>110798</v>
      </c>
      <c r="AU99" s="17">
        <f>Ohj.lask.[[#This Row],[Jaettava € 3]]+Ohj.lask.[[#This Row],[Jaettava € 4]]+Ohj.lask.[[#This Row],[Jaettava € 5]]</f>
        <v>59795</v>
      </c>
      <c r="AV99" s="42">
        <f>Ohj.lask.[[#This Row],[Jaettava € 6]]+Ohj.lask.[[#This Row],[Päätös, € 9]]</f>
        <v>539174</v>
      </c>
      <c r="AW99" s="42">
        <v>29012</v>
      </c>
      <c r="AX99" s="23">
        <f>Ohj.lask.[[#This Row],[Perus-, suoritus- ja vaikuttavuusrahoitus yhteensä, €]]+Ohj.lask.[[#This Row],[Alv-korvaus, €]]</f>
        <v>568186</v>
      </c>
    </row>
    <row r="100" spans="1:50" ht="12.75" x14ac:dyDescent="0.2">
      <c r="A100" s="134" t="s">
        <v>284</v>
      </c>
      <c r="B100" s="14" t="s">
        <v>99</v>
      </c>
      <c r="C100" s="14" t="s">
        <v>224</v>
      </c>
      <c r="D100" s="14" t="s">
        <v>392</v>
      </c>
      <c r="E100" s="14" t="s">
        <v>438</v>
      </c>
      <c r="F100" s="117">
        <v>194</v>
      </c>
      <c r="G100" s="124">
        <f>Ohj.lask.[[#This Row],[Tavoitteelliset opiskelija-vuodet]]-Ohj.lask.[[#This Row],[Järjestämisluvan opisk.vuosien vähimmäismäärä]]</f>
        <v>231</v>
      </c>
      <c r="H100" s="41">
        <v>425</v>
      </c>
      <c r="I100" s="15">
        <f>IFERROR(VLOOKUP($A100,'2.1 Toteut. op.vuodet'!$A:$T,COLUMN('2.1 Toteut. op.vuodet'!T:T),FALSE),0)</f>
        <v>0.78006718579085654</v>
      </c>
      <c r="J100" s="81">
        <f t="shared" ref="J100:J131" si="3">IFERROR(ROUND(H100*I100,1),0)</f>
        <v>331.5</v>
      </c>
      <c r="K100" s="16">
        <f>IFERROR(Ohj.lask.[[#This Row],[Painotetut opiskelija-vuodet]]/Ohj.lask.[[#Totals],[Painotetut opiskelija-vuodet]],0)</f>
        <v>1.618879998749825E-3</v>
      </c>
      <c r="L100" s="17">
        <f>ROUND(IFERROR('1.1 Jakotaulu'!L$11*Ohj.lask.[[#This Row],[%-osuus 1]],0),0)</f>
        <v>2038932</v>
      </c>
      <c r="M100" s="186">
        <f>IFERROR(ROUND(VLOOKUP($A100,'2.2 Tutk. ja osien pain. pist.'!$A:$Q,COLUMN('2.2 Tutk. ja osien pain. pist.'!P:P),FALSE),1),0)</f>
        <v>16299</v>
      </c>
      <c r="N100" s="16">
        <f>IFERROR(Ohj.lask.[[#This Row],[Painotetut pisteet 2]]/Ohj.lask.[[#Totals],[Painotetut pisteet 2]],0)</f>
        <v>1.0463315669188512E-3</v>
      </c>
      <c r="O100" s="23">
        <f>ROUND(IFERROR('1.1 Jakotaulu'!K$12*Ohj.lask.[[#This Row],[%-osuus 2]],0),0)</f>
        <v>384194</v>
      </c>
      <c r="P100" s="187">
        <f>IFERROR(ROUND(VLOOKUP($A100,'2.3 Työll. ja jatko-opisk.'!$A:$K,COLUMN('2.3 Työll. ja jatko-opisk.'!I:I),FALSE),1),0)</f>
        <v>291</v>
      </c>
      <c r="Q100" s="16">
        <f>IFERROR(Ohj.lask.[[#This Row],[Painotetut pisteet 3]]/Ohj.lask.[[#Totals],[Painotetut pisteet 3]],0)</f>
        <v>1.4621433010975123E-3</v>
      </c>
      <c r="R100" s="17">
        <f>ROUND(IFERROR('1.1 Jakotaulu'!L$14*Ohj.lask.[[#This Row],[%-osuus 3]],0),0)</f>
        <v>201327</v>
      </c>
      <c r="S100" s="186">
        <f>IFERROR(ROUND(VLOOKUP($A100,'2.4 Aloittaneet palaute'!$A:$K,COLUMN('2.4 Aloittaneet palaute'!J:J),FALSE),1),0)</f>
        <v>2463</v>
      </c>
      <c r="T100" s="20">
        <f>IFERROR(Ohj.lask.[[#This Row],[Painotetut pisteet 4]]/Ohj.lask.[[#Totals],[Painotetut pisteet 4]],0)</f>
        <v>1.496305255992435E-3</v>
      </c>
      <c r="U100" s="23">
        <f>ROUND(IFERROR('1.1 Jakotaulu'!M$16*Ohj.lask.[[#This Row],[%-osuus 4]],0),0)</f>
        <v>17169</v>
      </c>
      <c r="V100" s="81">
        <f>IFERROR(ROUND(VLOOKUP($A100,'2.5 Päättäneet palaute'!$A:$AC,COLUMN('2.5 Päättäneet palaute'!AB:AB),FALSE),1),0)</f>
        <v>25964.7</v>
      </c>
      <c r="W100" s="20">
        <f>IFERROR(Ohj.lask.[[#This Row],[Painotetut pisteet 5]]/Ohj.lask.[[#Totals],[Painotetut pisteet 5]],0)</f>
        <v>3.0116489351781272E-3</v>
      </c>
      <c r="X100" s="17">
        <f>ROUND(IFERROR('1.1 Jakotaulu'!M$17*Ohj.lask.[[#This Row],[%-osuus 5]],0),0)</f>
        <v>103671</v>
      </c>
      <c r="Y100" s="19">
        <f>IFERROR(Ohj.lask.[[#This Row],[Jaettava € 6]]/Ohj.lask.[[#Totals],[Jaettava € 6]],"")</f>
        <v>1.5165320179772515E-3</v>
      </c>
      <c r="Z100" s="23">
        <f>IFERROR(Ohj.lask.[[#This Row],[Jaettava € 1]]+Ohj.lask.[[#This Row],[Jaettava € 2]]+Ohj.lask.[[#This Row],[Jaettava € 3]]+Ohj.lask.[[#This Row],[Jaettava € 4]]+Ohj.lask.[[#This Row],[Jaettava € 5]],"")</f>
        <v>2745293</v>
      </c>
      <c r="AA100" s="17">
        <v>0</v>
      </c>
      <c r="AB100" s="17">
        <v>0</v>
      </c>
      <c r="AC100" s="18">
        <v>0</v>
      </c>
      <c r="AD100" s="17">
        <v>0</v>
      </c>
      <c r="AE100" s="18">
        <v>0</v>
      </c>
      <c r="AF100" s="17">
        <v>0</v>
      </c>
      <c r="AG100" s="18">
        <v>35350</v>
      </c>
      <c r="AH100" s="17">
        <v>0</v>
      </c>
      <c r="AI100" s="18">
        <v>0</v>
      </c>
      <c r="AJ100" s="17">
        <v>0</v>
      </c>
      <c r="AK100" s="18">
        <v>0</v>
      </c>
      <c r="AL100" s="17">
        <v>0</v>
      </c>
      <c r="AM100" s="18">
        <v>40000</v>
      </c>
      <c r="AN100" s="23">
        <v>25000</v>
      </c>
      <c r="AO100" s="17">
        <v>0</v>
      </c>
      <c r="AP100" s="17">
        <v>0</v>
      </c>
      <c r="AQ100" s="18">
        <f>IFERROR(VLOOKUP(Ohj.lask.[[#This Row],[Y-tunnus]],#REF!,COLUMN(#REF!),FALSE),0)</f>
        <v>0</v>
      </c>
      <c r="AR100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25000</v>
      </c>
      <c r="AS100" s="17">
        <f>Ohj.lask.[[#This Row],[Jaettava € 1]]+Ohj.lask.[[#This Row],[Päätös, € 9]]</f>
        <v>2063932</v>
      </c>
      <c r="AT100" s="113">
        <f>Ohj.lask.[[#This Row],[Jaettava € 2]]</f>
        <v>384194</v>
      </c>
      <c r="AU100" s="17">
        <f>Ohj.lask.[[#This Row],[Jaettava € 3]]+Ohj.lask.[[#This Row],[Jaettava € 4]]+Ohj.lask.[[#This Row],[Jaettava € 5]]</f>
        <v>322167</v>
      </c>
      <c r="AV100" s="42">
        <f>Ohj.lask.[[#This Row],[Jaettava € 6]]+Ohj.lask.[[#This Row],[Päätös, € 9]]</f>
        <v>2770293</v>
      </c>
      <c r="AW100" s="42">
        <v>72091</v>
      </c>
      <c r="AX100" s="23">
        <f>Ohj.lask.[[#This Row],[Perus-, suoritus- ja vaikuttavuusrahoitus yhteensä, €]]+Ohj.lask.[[#This Row],[Alv-korvaus, €]]</f>
        <v>2842384</v>
      </c>
    </row>
    <row r="101" spans="1:50" ht="12.75" x14ac:dyDescent="0.2">
      <c r="A101" s="134" t="s">
        <v>288</v>
      </c>
      <c r="B101" s="14" t="s">
        <v>100</v>
      </c>
      <c r="C101" s="14" t="s">
        <v>216</v>
      </c>
      <c r="D101" s="14" t="s">
        <v>392</v>
      </c>
      <c r="E101" s="14" t="s">
        <v>438</v>
      </c>
      <c r="F101" s="117">
        <v>105</v>
      </c>
      <c r="G101" s="124">
        <f>Ohj.lask.[[#This Row],[Tavoitteelliset opiskelija-vuodet]]-Ohj.lask.[[#This Row],[Järjestämisluvan opisk.vuosien vähimmäismäärä]]</f>
        <v>15</v>
      </c>
      <c r="H101" s="41">
        <v>120</v>
      </c>
      <c r="I101" s="15">
        <f>IFERROR(VLOOKUP($A101,'2.1 Toteut. op.vuodet'!$A:$T,COLUMN('2.1 Toteut. op.vuodet'!T:T),FALSE),0)</f>
        <v>1.511301192875566</v>
      </c>
      <c r="J101" s="81">
        <f t="shared" si="3"/>
        <v>181.4</v>
      </c>
      <c r="K101" s="16">
        <f>IFERROR(Ohj.lask.[[#This Row],[Painotetut opiskelija-vuodet]]/Ohj.lask.[[#Totals],[Painotetut opiskelija-vuodet]],0)</f>
        <v>8.8586676251347892E-4</v>
      </c>
      <c r="L101" s="17">
        <f>ROUND(IFERROR('1.1 Jakotaulu'!L$11*Ohj.lask.[[#This Row],[%-osuus 1]],0),0)</f>
        <v>1115723</v>
      </c>
      <c r="M101" s="186">
        <f>IFERROR(ROUND(VLOOKUP($A101,'2.2 Tutk. ja osien pain. pist.'!$A:$Q,COLUMN('2.2 Tutk. ja osien pain. pist.'!P:P),FALSE),1),0)</f>
        <v>18040.5</v>
      </c>
      <c r="N101" s="16">
        <f>IFERROR(Ohj.lask.[[#This Row],[Painotetut pisteet 2]]/Ohj.lask.[[#Totals],[Painotetut pisteet 2]],0)</f>
        <v>1.1581290038038857E-3</v>
      </c>
      <c r="O101" s="23">
        <f>ROUND(IFERROR('1.1 Jakotaulu'!K$12*Ohj.lask.[[#This Row],[%-osuus 2]],0),0)</f>
        <v>425244</v>
      </c>
      <c r="P101" s="187">
        <f>IFERROR(ROUND(VLOOKUP($A101,'2.3 Työll. ja jatko-opisk.'!$A:$K,COLUMN('2.3 Työll. ja jatko-opisk.'!I:I),FALSE),1),0)</f>
        <v>141</v>
      </c>
      <c r="Q101" s="16">
        <f>IFERROR(Ohj.lask.[[#This Row],[Painotetut pisteet 3]]/Ohj.lask.[[#Totals],[Painotetut pisteet 3]],0)</f>
        <v>7.0846118712972249E-4</v>
      </c>
      <c r="R101" s="17">
        <f>ROUND(IFERROR('1.1 Jakotaulu'!L$14*Ohj.lask.[[#This Row],[%-osuus 3]],0),0)</f>
        <v>97550</v>
      </c>
      <c r="S101" s="186">
        <f>IFERROR(ROUND(VLOOKUP($A101,'2.4 Aloittaneet palaute'!$A:$K,COLUMN('2.4 Aloittaneet palaute'!J:J),FALSE),1),0)</f>
        <v>1272.3</v>
      </c>
      <c r="T101" s="20">
        <f>IFERROR(Ohj.lask.[[#This Row],[Painotetut pisteet 4]]/Ohj.lask.[[#Totals],[Painotetut pisteet 4]],0)</f>
        <v>7.7293917060461837E-4</v>
      </c>
      <c r="U101" s="23">
        <f>ROUND(IFERROR('1.1 Jakotaulu'!M$16*Ohj.lask.[[#This Row],[%-osuus 4]],0),0)</f>
        <v>8869</v>
      </c>
      <c r="V101" s="81">
        <f>IFERROR(ROUND(VLOOKUP($A101,'2.5 Päättäneet palaute'!$A:$AC,COLUMN('2.5 Päättäneet palaute'!AB:AB),FALSE),1),0)</f>
        <v>6222.1</v>
      </c>
      <c r="W101" s="20">
        <f>IFERROR(Ohj.lask.[[#This Row],[Painotetut pisteet 5]]/Ohj.lask.[[#Totals],[Painotetut pisteet 5]],0)</f>
        <v>7.2170218949465343E-4</v>
      </c>
      <c r="X101" s="17">
        <f>ROUND(IFERROR('1.1 Jakotaulu'!M$17*Ohj.lask.[[#This Row],[%-osuus 5]],0),0)</f>
        <v>24843</v>
      </c>
      <c r="Y101" s="19">
        <f>IFERROR(Ohj.lask.[[#This Row],[Jaettava € 6]]/Ohj.lask.[[#Totals],[Jaettava € 6]],"")</f>
        <v>9.237588919980787E-4</v>
      </c>
      <c r="Z101" s="23">
        <f>IFERROR(Ohj.lask.[[#This Row],[Jaettava € 1]]+Ohj.lask.[[#This Row],[Jaettava € 2]]+Ohj.lask.[[#This Row],[Jaettava € 3]]+Ohj.lask.[[#This Row],[Jaettava € 4]]+Ohj.lask.[[#This Row],[Jaettava € 5]],"")</f>
        <v>1672229</v>
      </c>
      <c r="AA101" s="17">
        <v>0</v>
      </c>
      <c r="AB101" s="17">
        <v>0</v>
      </c>
      <c r="AC101" s="18">
        <v>0</v>
      </c>
      <c r="AD101" s="17">
        <v>0</v>
      </c>
      <c r="AE101" s="18">
        <v>0</v>
      </c>
      <c r="AF101" s="17">
        <v>0</v>
      </c>
      <c r="AG101" s="18">
        <v>0</v>
      </c>
      <c r="AH101" s="17">
        <v>0</v>
      </c>
      <c r="AI101" s="18">
        <v>0</v>
      </c>
      <c r="AJ101" s="17">
        <v>0</v>
      </c>
      <c r="AK101" s="18">
        <v>241000</v>
      </c>
      <c r="AL101" s="17">
        <v>0</v>
      </c>
      <c r="AM101" s="18">
        <v>0</v>
      </c>
      <c r="AN101" s="23">
        <v>0</v>
      </c>
      <c r="AO101" s="17">
        <v>0</v>
      </c>
      <c r="AP101" s="17">
        <v>0</v>
      </c>
      <c r="AQ101" s="18">
        <f>IFERROR(VLOOKUP(Ohj.lask.[[#This Row],[Y-tunnus]],#REF!,COLUMN(#REF!),FALSE),0)</f>
        <v>0</v>
      </c>
      <c r="AR101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01" s="17">
        <f>Ohj.lask.[[#This Row],[Jaettava € 1]]+Ohj.lask.[[#This Row],[Päätös, € 9]]</f>
        <v>1115723</v>
      </c>
      <c r="AT101" s="113">
        <f>Ohj.lask.[[#This Row],[Jaettava € 2]]</f>
        <v>425244</v>
      </c>
      <c r="AU101" s="17">
        <f>Ohj.lask.[[#This Row],[Jaettava € 3]]+Ohj.lask.[[#This Row],[Jaettava € 4]]+Ohj.lask.[[#This Row],[Jaettava € 5]]</f>
        <v>131262</v>
      </c>
      <c r="AV101" s="42">
        <f>Ohj.lask.[[#This Row],[Jaettava € 6]]+Ohj.lask.[[#This Row],[Päätös, € 9]]</f>
        <v>1672229</v>
      </c>
      <c r="AW101" s="42">
        <v>49055</v>
      </c>
      <c r="AX101" s="23">
        <f>Ohj.lask.[[#This Row],[Perus-, suoritus- ja vaikuttavuusrahoitus yhteensä, €]]+Ohj.lask.[[#This Row],[Alv-korvaus, €]]</f>
        <v>1721284</v>
      </c>
    </row>
    <row r="102" spans="1:50" ht="12.75" x14ac:dyDescent="0.2">
      <c r="A102" s="134" t="s">
        <v>287</v>
      </c>
      <c r="B102" s="14" t="s">
        <v>101</v>
      </c>
      <c r="C102" s="14" t="s">
        <v>220</v>
      </c>
      <c r="D102" s="14" t="s">
        <v>392</v>
      </c>
      <c r="E102" s="14" t="s">
        <v>438</v>
      </c>
      <c r="F102" s="117">
        <v>68</v>
      </c>
      <c r="G102" s="124">
        <f>Ohj.lask.[[#This Row],[Tavoitteelliset opiskelija-vuodet]]-Ohj.lask.[[#This Row],[Järjestämisluvan opisk.vuosien vähimmäismäärä]]</f>
        <v>7</v>
      </c>
      <c r="H102" s="41">
        <v>75</v>
      </c>
      <c r="I102" s="15">
        <f>IFERROR(VLOOKUP($A102,'2.1 Toteut. op.vuodet'!$A:$T,COLUMN('2.1 Toteut. op.vuodet'!T:T),FALSE),0)</f>
        <v>1.0807626467223199</v>
      </c>
      <c r="J102" s="81">
        <f t="shared" si="3"/>
        <v>81.099999999999994</v>
      </c>
      <c r="K102" s="16">
        <f>IFERROR(Ohj.lask.[[#This Row],[Painotetut opiskelija-vuodet]]/Ohj.lask.[[#Totals],[Painotetut opiskelija-vuodet]],0)</f>
        <v>3.960517885327626E-4</v>
      </c>
      <c r="L102" s="17">
        <f>ROUND(IFERROR('1.1 Jakotaulu'!L$11*Ohj.lask.[[#This Row],[%-osuus 1]],0),0)</f>
        <v>498816</v>
      </c>
      <c r="M102" s="186">
        <f>IFERROR(ROUND(VLOOKUP($A102,'2.2 Tutk. ja osien pain. pist.'!$A:$Q,COLUMN('2.2 Tutk. ja osien pain. pist.'!P:P),FALSE),1),0)</f>
        <v>6410.6</v>
      </c>
      <c r="N102" s="16">
        <f>IFERROR(Ohj.lask.[[#This Row],[Painotetut pisteet 2]]/Ohj.lask.[[#Totals],[Painotetut pisteet 2]],0)</f>
        <v>4.1153525632799484E-4</v>
      </c>
      <c r="O102" s="23">
        <f>ROUND(IFERROR('1.1 Jakotaulu'!K$12*Ohj.lask.[[#This Row],[%-osuus 2]],0),0)</f>
        <v>151108</v>
      </c>
      <c r="P102" s="187">
        <f>IFERROR(ROUND(VLOOKUP($A102,'2.3 Työll. ja jatko-opisk.'!$A:$K,COLUMN('2.3 Työll. ja jatko-opisk.'!I:I),FALSE),1),0)</f>
        <v>136.19999999999999</v>
      </c>
      <c r="Q102" s="16">
        <f>IFERROR(Ohj.lask.[[#This Row],[Painotetut pisteet 3]]/Ohj.lask.[[#Totals],[Painotetut pisteet 3]],0)</f>
        <v>6.8434335948275315E-4</v>
      </c>
      <c r="R102" s="17">
        <f>ROUND(IFERROR('1.1 Jakotaulu'!L$14*Ohj.lask.[[#This Row],[%-osuus 3]],0),0)</f>
        <v>94229</v>
      </c>
      <c r="S102" s="186">
        <f>IFERROR(ROUND(VLOOKUP($A102,'2.4 Aloittaneet palaute'!$A:$K,COLUMN('2.4 Aloittaneet palaute'!J:J),FALSE),1),0)</f>
        <v>421.7</v>
      </c>
      <c r="T102" s="20">
        <f>IFERROR(Ohj.lask.[[#This Row],[Painotetut pisteet 4]]/Ohj.lask.[[#Totals],[Painotetut pisteet 4]],0)</f>
        <v>2.5618835828339825E-4</v>
      </c>
      <c r="U102" s="23">
        <f>ROUND(IFERROR('1.1 Jakotaulu'!M$16*Ohj.lask.[[#This Row],[%-osuus 4]],0),0)</f>
        <v>2940</v>
      </c>
      <c r="V102" s="81">
        <f>IFERROR(ROUND(VLOOKUP($A102,'2.5 Päättäneet palaute'!$A:$AC,COLUMN('2.5 Päättäneet palaute'!AB:AB),FALSE),1),0)</f>
        <v>1792.8</v>
      </c>
      <c r="W102" s="20">
        <f>IFERROR(Ohj.lask.[[#This Row],[Painotetut pisteet 5]]/Ohj.lask.[[#Totals],[Painotetut pisteet 5]],0)</f>
        <v>2.0794710553125384E-4</v>
      </c>
      <c r="X102" s="17">
        <f>ROUND(IFERROR('1.1 Jakotaulu'!M$17*Ohj.lask.[[#This Row],[%-osuus 5]],0),0)</f>
        <v>7158</v>
      </c>
      <c r="Y102" s="19">
        <f>IFERROR(Ohj.lask.[[#This Row],[Jaettava € 6]]/Ohj.lask.[[#Totals],[Jaettava € 6]],"")</f>
        <v>4.1665708945870625E-4</v>
      </c>
      <c r="Z102" s="23">
        <f>IFERROR(Ohj.lask.[[#This Row],[Jaettava € 1]]+Ohj.lask.[[#This Row],[Jaettava € 2]]+Ohj.lask.[[#This Row],[Jaettava € 3]]+Ohj.lask.[[#This Row],[Jaettava € 4]]+Ohj.lask.[[#This Row],[Jaettava € 5]],"")</f>
        <v>754251</v>
      </c>
      <c r="AA102" s="17">
        <v>0</v>
      </c>
      <c r="AB102" s="17">
        <v>0</v>
      </c>
      <c r="AC102" s="18">
        <v>0</v>
      </c>
      <c r="AD102" s="17">
        <v>0</v>
      </c>
      <c r="AE102" s="18">
        <v>0</v>
      </c>
      <c r="AF102" s="17">
        <v>0</v>
      </c>
      <c r="AG102" s="18">
        <v>0</v>
      </c>
      <c r="AH102" s="17">
        <v>0</v>
      </c>
      <c r="AI102" s="18">
        <v>0</v>
      </c>
      <c r="AJ102" s="17">
        <v>0</v>
      </c>
      <c r="AK102" s="18">
        <v>0</v>
      </c>
      <c r="AL102" s="17">
        <v>0</v>
      </c>
      <c r="AM102" s="18">
        <v>0</v>
      </c>
      <c r="AN102" s="23">
        <v>0</v>
      </c>
      <c r="AO102" s="17">
        <v>0</v>
      </c>
      <c r="AP102" s="17">
        <v>0</v>
      </c>
      <c r="AQ102" s="18">
        <f>IFERROR(VLOOKUP(Ohj.lask.[[#This Row],[Y-tunnus]],#REF!,COLUMN(#REF!),FALSE),0)</f>
        <v>0</v>
      </c>
      <c r="AR102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02" s="17">
        <f>Ohj.lask.[[#This Row],[Jaettava € 1]]+Ohj.lask.[[#This Row],[Päätös, € 9]]</f>
        <v>498816</v>
      </c>
      <c r="AT102" s="113">
        <f>Ohj.lask.[[#This Row],[Jaettava € 2]]</f>
        <v>151108</v>
      </c>
      <c r="AU102" s="17">
        <f>Ohj.lask.[[#This Row],[Jaettava € 3]]+Ohj.lask.[[#This Row],[Jaettava € 4]]+Ohj.lask.[[#This Row],[Jaettava € 5]]</f>
        <v>104327</v>
      </c>
      <c r="AV102" s="42">
        <f>Ohj.lask.[[#This Row],[Jaettava € 6]]+Ohj.lask.[[#This Row],[Päätös, € 9]]</f>
        <v>754251</v>
      </c>
      <c r="AW102" s="42">
        <v>30477</v>
      </c>
      <c r="AX102" s="23">
        <f>Ohj.lask.[[#This Row],[Perus-, suoritus- ja vaikuttavuusrahoitus yhteensä, €]]+Ohj.lask.[[#This Row],[Alv-korvaus, €]]</f>
        <v>784728</v>
      </c>
    </row>
    <row r="103" spans="1:50" ht="12.75" x14ac:dyDescent="0.2">
      <c r="A103" s="134" t="s">
        <v>283</v>
      </c>
      <c r="B103" s="14" t="s">
        <v>102</v>
      </c>
      <c r="C103" s="14" t="s">
        <v>224</v>
      </c>
      <c r="D103" s="14" t="s">
        <v>391</v>
      </c>
      <c r="E103" s="14" t="s">
        <v>438</v>
      </c>
      <c r="F103" s="117">
        <v>890</v>
      </c>
      <c r="G103" s="124">
        <f>Ohj.lask.[[#This Row],[Tavoitteelliset opiskelija-vuodet]]-Ohj.lask.[[#This Row],[Järjestämisluvan opisk.vuosien vähimmäismäärä]]</f>
        <v>165</v>
      </c>
      <c r="H103" s="41">
        <v>1055</v>
      </c>
      <c r="I103" s="15">
        <f>IFERROR(VLOOKUP($A103,'2.1 Toteut. op.vuodet'!$A:$T,COLUMN('2.1 Toteut. op.vuodet'!T:T),FALSE),0)</f>
        <v>1.1886744825600415</v>
      </c>
      <c r="J103" s="81">
        <f t="shared" si="3"/>
        <v>1254.0999999999999</v>
      </c>
      <c r="K103" s="16">
        <f>IFERROR(Ohj.lask.[[#This Row],[Painotetut opiskelija-vuodet]]/Ohj.lask.[[#Totals],[Painotetut opiskelija-vuodet]],0)</f>
        <v>6.1243963994936819E-3</v>
      </c>
      <c r="L103" s="17">
        <f>ROUND(IFERROR('1.1 Jakotaulu'!L$11*Ohj.lask.[[#This Row],[%-osuus 1]],0),0)</f>
        <v>7713500</v>
      </c>
      <c r="M103" s="186">
        <f>IFERROR(ROUND(VLOOKUP($A103,'2.2 Tutk. ja osien pain. pist.'!$A:$Q,COLUMN('2.2 Tutk. ja osien pain. pist.'!P:P),FALSE),1),0)</f>
        <v>93109.7</v>
      </c>
      <c r="N103" s="16">
        <f>IFERROR(Ohj.lask.[[#This Row],[Painotetut pisteet 2]]/Ohj.lask.[[#Totals],[Painotetut pisteet 2]],0)</f>
        <v>5.9772758019721551E-3</v>
      </c>
      <c r="O103" s="23">
        <f>ROUND(IFERROR('1.1 Jakotaulu'!K$12*Ohj.lask.[[#This Row],[%-osuus 2]],0),0)</f>
        <v>2194748</v>
      </c>
      <c r="P103" s="187">
        <f>IFERROR(ROUND(VLOOKUP($A103,'2.3 Työll. ja jatko-opisk.'!$A:$K,COLUMN('2.3 Työll. ja jatko-opisk.'!I:I),FALSE),1),0)</f>
        <v>881.6</v>
      </c>
      <c r="Q103" s="16">
        <f>IFERROR(Ohj.lask.[[#This Row],[Painotetut pisteet 3]]/Ohj.lask.[[#Totals],[Painotetut pisteet 3]],0)</f>
        <v>4.4296410111600241E-3</v>
      </c>
      <c r="R103" s="17">
        <f>ROUND(IFERROR('1.1 Jakotaulu'!L$14*Ohj.lask.[[#This Row],[%-osuus 3]],0),0)</f>
        <v>609932</v>
      </c>
      <c r="S103" s="186">
        <f>IFERROR(ROUND(VLOOKUP($A103,'2.4 Aloittaneet palaute'!$A:$K,COLUMN('2.4 Aloittaneet palaute'!J:J),FALSE),1),0)</f>
        <v>11891.4</v>
      </c>
      <c r="T103" s="20">
        <f>IFERROR(Ohj.lask.[[#This Row],[Painotetut pisteet 4]]/Ohj.lask.[[#Totals],[Painotetut pisteet 4]],0)</f>
        <v>7.2241836464102486E-3</v>
      </c>
      <c r="U103" s="23">
        <f>ROUND(IFERROR('1.1 Jakotaulu'!M$16*Ohj.lask.[[#This Row],[%-osuus 4]],0),0)</f>
        <v>82893</v>
      </c>
      <c r="V103" s="81">
        <f>IFERROR(ROUND(VLOOKUP($A103,'2.5 Päättäneet palaute'!$A:$AC,COLUMN('2.5 Päättäneet palaute'!AB:AB),FALSE),1),0)</f>
        <v>63419.9</v>
      </c>
      <c r="W103" s="20">
        <f>IFERROR(Ohj.lask.[[#This Row],[Painotetut pisteet 5]]/Ohj.lask.[[#Totals],[Painotetut pisteet 5]],0)</f>
        <v>7.3560824621160007E-3</v>
      </c>
      <c r="X103" s="17">
        <f>ROUND(IFERROR('1.1 Jakotaulu'!M$17*Ohj.lask.[[#This Row],[%-osuus 5]],0),0)</f>
        <v>253221</v>
      </c>
      <c r="Y103" s="19">
        <f>IFERROR(Ohj.lask.[[#This Row],[Jaettava € 6]]/Ohj.lask.[[#Totals],[Jaettava € 6]],"")</f>
        <v>5.996039178163633E-3</v>
      </c>
      <c r="Z103" s="23">
        <f>IFERROR(Ohj.lask.[[#This Row],[Jaettava € 1]]+Ohj.lask.[[#This Row],[Jaettava € 2]]+Ohj.lask.[[#This Row],[Jaettava € 3]]+Ohj.lask.[[#This Row],[Jaettava € 4]]+Ohj.lask.[[#This Row],[Jaettava € 5]],"")</f>
        <v>10854294</v>
      </c>
      <c r="AA103" s="17">
        <v>0</v>
      </c>
      <c r="AB103" s="17">
        <v>0</v>
      </c>
      <c r="AC103" s="18">
        <v>0</v>
      </c>
      <c r="AD103" s="17">
        <v>0</v>
      </c>
      <c r="AE103" s="18">
        <v>0</v>
      </c>
      <c r="AF103" s="17">
        <v>0</v>
      </c>
      <c r="AG103" s="18">
        <v>150000</v>
      </c>
      <c r="AH103" s="17">
        <v>0</v>
      </c>
      <c r="AI103" s="18">
        <v>0</v>
      </c>
      <c r="AJ103" s="17">
        <v>0</v>
      </c>
      <c r="AK103" s="18">
        <v>0</v>
      </c>
      <c r="AL103" s="17">
        <v>0</v>
      </c>
      <c r="AM103" s="18">
        <v>100000</v>
      </c>
      <c r="AN103" s="23">
        <v>50000</v>
      </c>
      <c r="AO103" s="17">
        <v>0</v>
      </c>
      <c r="AP103" s="17">
        <v>0</v>
      </c>
      <c r="AQ103" s="18">
        <f>IFERROR(VLOOKUP(Ohj.lask.[[#This Row],[Y-tunnus]],#REF!,COLUMN(#REF!),FALSE),0)</f>
        <v>0</v>
      </c>
      <c r="AR103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50000</v>
      </c>
      <c r="AS103" s="17">
        <f>Ohj.lask.[[#This Row],[Jaettava € 1]]+Ohj.lask.[[#This Row],[Päätös, € 9]]</f>
        <v>7763500</v>
      </c>
      <c r="AT103" s="113">
        <f>Ohj.lask.[[#This Row],[Jaettava € 2]]</f>
        <v>2194748</v>
      </c>
      <c r="AU103" s="17">
        <f>Ohj.lask.[[#This Row],[Jaettava € 3]]+Ohj.lask.[[#This Row],[Jaettava € 4]]+Ohj.lask.[[#This Row],[Jaettava € 5]]</f>
        <v>946046</v>
      </c>
      <c r="AV103" s="42">
        <f>Ohj.lask.[[#This Row],[Jaettava € 6]]+Ohj.lask.[[#This Row],[Päätös, € 9]]</f>
        <v>10904294</v>
      </c>
      <c r="AW103" s="42">
        <v>0</v>
      </c>
      <c r="AX103" s="23">
        <f>Ohj.lask.[[#This Row],[Perus-, suoritus- ja vaikuttavuusrahoitus yhteensä, €]]+Ohj.lask.[[#This Row],[Alv-korvaus, €]]</f>
        <v>10904294</v>
      </c>
    </row>
    <row r="104" spans="1:50" ht="12.75" x14ac:dyDescent="0.2">
      <c r="A104" s="134" t="s">
        <v>282</v>
      </c>
      <c r="B104" s="14" t="s">
        <v>103</v>
      </c>
      <c r="C104" s="14" t="s">
        <v>224</v>
      </c>
      <c r="D104" s="14" t="s">
        <v>392</v>
      </c>
      <c r="E104" s="14" t="s">
        <v>438</v>
      </c>
      <c r="F104" s="117">
        <v>179</v>
      </c>
      <c r="G104" s="124">
        <f>Ohj.lask.[[#This Row],[Tavoitteelliset opiskelija-vuodet]]-Ohj.lask.[[#This Row],[Järjestämisluvan opisk.vuosien vähimmäismäärä]]</f>
        <v>25</v>
      </c>
      <c r="H104" s="41">
        <v>204</v>
      </c>
      <c r="I104" s="15">
        <f>IFERROR(VLOOKUP($A104,'2.1 Toteut. op.vuodet'!$A:$T,COLUMN('2.1 Toteut. op.vuodet'!T:T),FALSE),0)</f>
        <v>0.74080859788272391</v>
      </c>
      <c r="J104" s="81">
        <f t="shared" si="3"/>
        <v>151.1</v>
      </c>
      <c r="K104" s="16">
        <f>IFERROR(Ohj.lask.[[#This Row],[Painotetut opiskelija-vuodet]]/Ohj.lask.[[#Totals],[Painotetut opiskelija-vuodet]],0)</f>
        <v>7.3789673547842701E-4</v>
      </c>
      <c r="L104" s="17">
        <f>ROUND(IFERROR('1.1 Jakotaulu'!L$11*Ohj.lask.[[#This Row],[%-osuus 1]],0),0)</f>
        <v>929360</v>
      </c>
      <c r="M104" s="186">
        <f>IFERROR(ROUND(VLOOKUP($A104,'2.2 Tutk. ja osien pain. pist.'!$A:$Q,COLUMN('2.2 Tutk. ja osien pain. pist.'!P:P),FALSE),1),0)</f>
        <v>10391.4</v>
      </c>
      <c r="N104" s="16">
        <f>IFERROR(Ohj.lask.[[#This Row],[Painotetut pisteet 2]]/Ohj.lask.[[#Totals],[Painotetut pisteet 2]],0)</f>
        <v>6.6708692830729182E-4</v>
      </c>
      <c r="O104" s="23">
        <f>ROUND(IFERROR('1.1 Jakotaulu'!K$12*Ohj.lask.[[#This Row],[%-osuus 2]],0),0)</f>
        <v>244942</v>
      </c>
      <c r="P104" s="187">
        <f>IFERROR(ROUND(VLOOKUP($A104,'2.3 Työll. ja jatko-opisk.'!$A:$K,COLUMN('2.3 Työll. ja jatko-opisk.'!I:I),FALSE),1),0)</f>
        <v>212.7</v>
      </c>
      <c r="Q104" s="16">
        <f>IFERROR(Ohj.lask.[[#This Row],[Painotetut pisteet 3]]/Ohj.lask.[[#Totals],[Painotetut pisteet 3]],0)</f>
        <v>1.068721237606326E-3</v>
      </c>
      <c r="R104" s="17">
        <f>ROUND(IFERROR('1.1 Jakotaulu'!L$14*Ohj.lask.[[#This Row],[%-osuus 3]],0),0)</f>
        <v>147156</v>
      </c>
      <c r="S104" s="186">
        <f>IFERROR(ROUND(VLOOKUP($A104,'2.4 Aloittaneet palaute'!$A:$K,COLUMN('2.4 Aloittaneet palaute'!J:J),FALSE),1),0)</f>
        <v>1241.2</v>
      </c>
      <c r="T104" s="20">
        <f>IFERROR(Ohj.lask.[[#This Row],[Painotetut pisteet 4]]/Ohj.lask.[[#Totals],[Painotetut pisteet 4]],0)</f>
        <v>7.5404550699870502E-4</v>
      </c>
      <c r="U104" s="23">
        <f>ROUND(IFERROR('1.1 Jakotaulu'!M$16*Ohj.lask.[[#This Row],[%-osuus 4]],0),0)</f>
        <v>8652</v>
      </c>
      <c r="V104" s="81">
        <f>IFERROR(ROUND(VLOOKUP($A104,'2.5 Päättäneet palaute'!$A:$AC,COLUMN('2.5 Päättäneet palaute'!AB:AB),FALSE),1),0)</f>
        <v>7055.8</v>
      </c>
      <c r="W104" s="20">
        <f>IFERROR(Ohj.lask.[[#This Row],[Painotetut pisteet 5]]/Ohj.lask.[[#Totals],[Painotetut pisteet 5]],0)</f>
        <v>8.1840316109293889E-4</v>
      </c>
      <c r="X104" s="17">
        <f>ROUND(IFERROR('1.1 Jakotaulu'!M$17*Ohj.lask.[[#This Row],[%-osuus 5]],0),0)</f>
        <v>28172</v>
      </c>
      <c r="Y104" s="19">
        <f>IFERROR(Ohj.lask.[[#This Row],[Jaettava € 6]]/Ohj.lask.[[#Totals],[Jaettava € 6]],"")</f>
        <v>7.5033089088930667E-4</v>
      </c>
      <c r="Z104" s="23">
        <f>IFERROR(Ohj.lask.[[#This Row],[Jaettava € 1]]+Ohj.lask.[[#This Row],[Jaettava € 2]]+Ohj.lask.[[#This Row],[Jaettava € 3]]+Ohj.lask.[[#This Row],[Jaettava € 4]]+Ohj.lask.[[#This Row],[Jaettava € 5]],"")</f>
        <v>1358282</v>
      </c>
      <c r="AA104" s="17">
        <v>0</v>
      </c>
      <c r="AB104" s="17">
        <v>0</v>
      </c>
      <c r="AC104" s="18">
        <v>0</v>
      </c>
      <c r="AD104" s="17">
        <v>0</v>
      </c>
      <c r="AE104" s="18">
        <v>0</v>
      </c>
      <c r="AF104" s="17">
        <v>0</v>
      </c>
      <c r="AG104" s="18">
        <v>69000</v>
      </c>
      <c r="AH104" s="17">
        <v>0</v>
      </c>
      <c r="AI104" s="18">
        <v>0</v>
      </c>
      <c r="AJ104" s="17">
        <v>0</v>
      </c>
      <c r="AK104" s="18">
        <v>250000</v>
      </c>
      <c r="AL104" s="17">
        <v>0</v>
      </c>
      <c r="AM104" s="18">
        <v>35000</v>
      </c>
      <c r="AN104" s="23">
        <v>25000</v>
      </c>
      <c r="AO104" s="17">
        <v>0</v>
      </c>
      <c r="AP104" s="17">
        <v>0</v>
      </c>
      <c r="AQ104" s="18">
        <f>IFERROR(VLOOKUP(Ohj.lask.[[#This Row],[Y-tunnus]],#REF!,COLUMN(#REF!),FALSE),0)</f>
        <v>0</v>
      </c>
      <c r="AR104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25000</v>
      </c>
      <c r="AS104" s="17">
        <f>Ohj.lask.[[#This Row],[Jaettava € 1]]+Ohj.lask.[[#This Row],[Päätös, € 9]]</f>
        <v>954360</v>
      </c>
      <c r="AT104" s="113">
        <f>Ohj.lask.[[#This Row],[Jaettava € 2]]</f>
        <v>244942</v>
      </c>
      <c r="AU104" s="17">
        <f>Ohj.lask.[[#This Row],[Jaettava € 3]]+Ohj.lask.[[#This Row],[Jaettava € 4]]+Ohj.lask.[[#This Row],[Jaettava € 5]]</f>
        <v>183980</v>
      </c>
      <c r="AV104" s="42">
        <f>Ohj.lask.[[#This Row],[Jaettava € 6]]+Ohj.lask.[[#This Row],[Päätös, € 9]]</f>
        <v>1383282</v>
      </c>
      <c r="AW104" s="42">
        <v>62349</v>
      </c>
      <c r="AX104" s="23">
        <f>Ohj.lask.[[#This Row],[Perus-, suoritus- ja vaikuttavuusrahoitus yhteensä, €]]+Ohj.lask.[[#This Row],[Alv-korvaus, €]]</f>
        <v>1445631</v>
      </c>
    </row>
    <row r="105" spans="1:50" ht="12.75" x14ac:dyDescent="0.2">
      <c r="A105" s="134" t="s">
        <v>281</v>
      </c>
      <c r="B105" s="14" t="s">
        <v>104</v>
      </c>
      <c r="C105" s="14" t="s">
        <v>232</v>
      </c>
      <c r="D105" s="14" t="s">
        <v>391</v>
      </c>
      <c r="E105" s="14" t="s">
        <v>438</v>
      </c>
      <c r="F105" s="117">
        <v>1630</v>
      </c>
      <c r="G105" s="124">
        <f>Ohj.lask.[[#This Row],[Tavoitteelliset opiskelija-vuodet]]-Ohj.lask.[[#This Row],[Järjestämisluvan opisk.vuosien vähimmäismäärä]]</f>
        <v>235</v>
      </c>
      <c r="H105" s="41">
        <v>1865</v>
      </c>
      <c r="I105" s="15">
        <f>IFERROR(VLOOKUP($A105,'2.1 Toteut. op.vuodet'!$A:$T,COLUMN('2.1 Toteut. op.vuodet'!T:T),FALSE),0)</f>
        <v>0.92569052577334066</v>
      </c>
      <c r="J105" s="81">
        <f t="shared" si="3"/>
        <v>1726.4</v>
      </c>
      <c r="K105" s="16">
        <f>IFERROR(Ohj.lask.[[#This Row],[Painotetut opiskelija-vuodet]]/Ohj.lask.[[#Totals],[Painotetut opiskelija-vuodet]],0)</f>
        <v>8.4308730915285002E-3</v>
      </c>
      <c r="L105" s="17">
        <f>ROUND(IFERROR('1.1 Jakotaulu'!L$11*Ohj.lask.[[#This Row],[%-osuus 1]],0),0)</f>
        <v>10618440</v>
      </c>
      <c r="M105" s="186">
        <f>IFERROR(ROUND(VLOOKUP($A105,'2.2 Tutk. ja osien pain. pist.'!$A:$Q,COLUMN('2.2 Tutk. ja osien pain. pist.'!P:P),FALSE),1),0)</f>
        <v>160203.79999999999</v>
      </c>
      <c r="N105" s="16">
        <f>IFERROR(Ohj.lask.[[#This Row],[Painotetut pisteet 2]]/Ohj.lask.[[#Totals],[Painotetut pisteet 2]],0)</f>
        <v>1.0284452609384272E-2</v>
      </c>
      <c r="O105" s="23">
        <f>ROUND(IFERROR('1.1 Jakotaulu'!K$12*Ohj.lask.[[#This Row],[%-osuus 2]],0),0)</f>
        <v>3776266</v>
      </c>
      <c r="P105" s="187">
        <f>IFERROR(ROUND(VLOOKUP($A105,'2.3 Työll. ja jatko-opisk.'!$A:$K,COLUMN('2.3 Työll. ja jatko-opisk.'!I:I),FALSE),1),0)</f>
        <v>2251.3000000000002</v>
      </c>
      <c r="Q105" s="16">
        <f>IFERROR(Ohj.lask.[[#This Row],[Painotetut pisteet 3]]/Ohj.lask.[[#Totals],[Painotetut pisteet 3]],0)</f>
        <v>1.1311763621171237E-2</v>
      </c>
      <c r="R105" s="17">
        <f>ROUND(IFERROR('1.1 Jakotaulu'!L$14*Ohj.lask.[[#This Row],[%-osuus 3]],0),0)</f>
        <v>1557553</v>
      </c>
      <c r="S105" s="186">
        <f>IFERROR(ROUND(VLOOKUP($A105,'2.4 Aloittaneet palaute'!$A:$K,COLUMN('2.4 Aloittaneet palaute'!J:J),FALSE),1),0)</f>
        <v>17554.400000000001</v>
      </c>
      <c r="T105" s="20">
        <f>IFERROR(Ohj.lask.[[#This Row],[Painotetut pisteet 4]]/Ohj.lask.[[#Totals],[Painotetut pisteet 4]],0)</f>
        <v>1.0664531459924322E-2</v>
      </c>
      <c r="U105" s="23">
        <f>ROUND(IFERROR('1.1 Jakotaulu'!M$16*Ohj.lask.[[#This Row],[%-osuus 4]],0),0)</f>
        <v>122370</v>
      </c>
      <c r="V105" s="81">
        <f>IFERROR(ROUND(VLOOKUP($A105,'2.5 Päättäneet palaute'!$A:$AC,COLUMN('2.5 Päättäneet palaute'!AB:AB),FALSE),1),0)</f>
        <v>94784.8</v>
      </c>
      <c r="W105" s="20">
        <f>IFERROR(Ohj.lask.[[#This Row],[Painotetut pisteet 5]]/Ohj.lask.[[#Totals],[Painotetut pisteet 5]],0)</f>
        <v>1.0994101298727571E-2</v>
      </c>
      <c r="X105" s="17">
        <f>ROUND(IFERROR('1.1 Jakotaulu'!M$17*Ohj.lask.[[#This Row],[%-osuus 5]],0),0)</f>
        <v>378453</v>
      </c>
      <c r="Y105" s="19">
        <f>IFERROR(Ohj.lask.[[#This Row],[Jaettava € 6]]/Ohj.lask.[[#Totals],[Jaettava € 6]],"")</f>
        <v>9.0888752666492042E-3</v>
      </c>
      <c r="Z105" s="23">
        <f>IFERROR(Ohj.lask.[[#This Row],[Jaettava € 1]]+Ohj.lask.[[#This Row],[Jaettava € 2]]+Ohj.lask.[[#This Row],[Jaettava € 3]]+Ohj.lask.[[#This Row],[Jaettava € 4]]+Ohj.lask.[[#This Row],[Jaettava € 5]],"")</f>
        <v>16453082</v>
      </c>
      <c r="AA105" s="17">
        <v>0</v>
      </c>
      <c r="AB105" s="17">
        <v>0</v>
      </c>
      <c r="AC105" s="18">
        <v>0</v>
      </c>
      <c r="AD105" s="17">
        <v>0</v>
      </c>
      <c r="AE105" s="18">
        <v>0</v>
      </c>
      <c r="AF105" s="17">
        <v>0</v>
      </c>
      <c r="AG105" s="18">
        <v>0</v>
      </c>
      <c r="AH105" s="17">
        <v>0</v>
      </c>
      <c r="AI105" s="18">
        <v>0</v>
      </c>
      <c r="AJ105" s="17">
        <v>0</v>
      </c>
      <c r="AK105" s="18">
        <v>0</v>
      </c>
      <c r="AL105" s="17">
        <v>0</v>
      </c>
      <c r="AM105" s="18">
        <v>40000</v>
      </c>
      <c r="AN105" s="23">
        <v>0</v>
      </c>
      <c r="AO105" s="17">
        <v>0</v>
      </c>
      <c r="AP105" s="17">
        <v>0</v>
      </c>
      <c r="AQ105" s="18">
        <f>IFERROR(VLOOKUP(Ohj.lask.[[#This Row],[Y-tunnus]],#REF!,COLUMN(#REF!),FALSE),0)</f>
        <v>0</v>
      </c>
      <c r="AR105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05" s="17">
        <f>Ohj.lask.[[#This Row],[Jaettava € 1]]+Ohj.lask.[[#This Row],[Päätös, € 9]]</f>
        <v>10618440</v>
      </c>
      <c r="AT105" s="113">
        <f>Ohj.lask.[[#This Row],[Jaettava € 2]]</f>
        <v>3776266</v>
      </c>
      <c r="AU105" s="17">
        <f>Ohj.lask.[[#This Row],[Jaettava € 3]]+Ohj.lask.[[#This Row],[Jaettava € 4]]+Ohj.lask.[[#This Row],[Jaettava € 5]]</f>
        <v>2058376</v>
      </c>
      <c r="AV105" s="42">
        <f>Ohj.lask.[[#This Row],[Jaettava € 6]]+Ohj.lask.[[#This Row],[Päätös, € 9]]</f>
        <v>16453082</v>
      </c>
      <c r="AW105" s="42">
        <v>0</v>
      </c>
      <c r="AX105" s="23">
        <f>Ohj.lask.[[#This Row],[Perus-, suoritus- ja vaikuttavuusrahoitus yhteensä, €]]+Ohj.lask.[[#This Row],[Alv-korvaus, €]]</f>
        <v>16453082</v>
      </c>
    </row>
    <row r="106" spans="1:50" ht="12.75" x14ac:dyDescent="0.2">
      <c r="A106" s="134" t="s">
        <v>280</v>
      </c>
      <c r="B106" s="14" t="s">
        <v>105</v>
      </c>
      <c r="C106" s="14" t="s">
        <v>216</v>
      </c>
      <c r="D106" s="14" t="s">
        <v>392</v>
      </c>
      <c r="E106" s="14" t="s">
        <v>438</v>
      </c>
      <c r="F106" s="117">
        <v>67</v>
      </c>
      <c r="G106" s="124">
        <f>Ohj.lask.[[#This Row],[Tavoitteelliset opiskelija-vuodet]]-Ohj.lask.[[#This Row],[Järjestämisluvan opisk.vuosien vähimmäismäärä]]</f>
        <v>46</v>
      </c>
      <c r="H106" s="41">
        <v>113</v>
      </c>
      <c r="I106" s="15">
        <f>IFERROR(VLOOKUP($A106,'2.1 Toteut. op.vuodet'!$A:$T,COLUMN('2.1 Toteut. op.vuodet'!T:T),FALSE),0)</f>
        <v>0.81364277126776119</v>
      </c>
      <c r="J106" s="81">
        <f t="shared" si="3"/>
        <v>91.9</v>
      </c>
      <c r="K106" s="16">
        <f>IFERROR(Ohj.lask.[[#This Row],[Painotetut opiskelija-vuodet]]/Ohj.lask.[[#Totals],[Painotetut opiskelija-vuodet]],0)</f>
        <v>4.4879358034723659E-4</v>
      </c>
      <c r="L106" s="17">
        <f>ROUND(IFERROR('1.1 Jakotaulu'!L$11*Ohj.lask.[[#This Row],[%-osuus 1]],0),0)</f>
        <v>565242</v>
      </c>
      <c r="M106" s="186">
        <f>IFERROR(ROUND(VLOOKUP($A106,'2.2 Tutk. ja osien pain. pist.'!$A:$Q,COLUMN('2.2 Tutk. ja osien pain. pist.'!P:P),FALSE),1),0)</f>
        <v>4235.3999999999996</v>
      </c>
      <c r="N106" s="16">
        <f>IFERROR(Ohj.lask.[[#This Row],[Painotetut pisteet 2]]/Ohj.lask.[[#Totals],[Painotetut pisteet 2]],0)</f>
        <v>2.718959886206578E-4</v>
      </c>
      <c r="O106" s="23">
        <f>ROUND(IFERROR('1.1 Jakotaulu'!K$12*Ohj.lask.[[#This Row],[%-osuus 2]],0),0)</f>
        <v>99835</v>
      </c>
      <c r="P106" s="187">
        <f>IFERROR(ROUND(VLOOKUP($A106,'2.3 Työll. ja jatko-opisk.'!$A:$K,COLUMN('2.3 Työll. ja jatko-opisk.'!I:I),FALSE),1),0)</f>
        <v>62.7</v>
      </c>
      <c r="Q106" s="16">
        <f>IFERROR(Ohj.lask.[[#This Row],[Painotetut pisteet 3]]/Ohj.lask.[[#Totals],[Painotetut pisteet 3]],0)</f>
        <v>3.1503912363853618E-4</v>
      </c>
      <c r="R106" s="17">
        <f>ROUND(IFERROR('1.1 Jakotaulu'!L$14*Ohj.lask.[[#This Row],[%-osuus 3]],0),0)</f>
        <v>43379</v>
      </c>
      <c r="S106" s="186">
        <f>IFERROR(ROUND(VLOOKUP($A106,'2.4 Aloittaneet palaute'!$A:$K,COLUMN('2.4 Aloittaneet palaute'!J:J),FALSE),1),0)</f>
        <v>500.3</v>
      </c>
      <c r="T106" s="20">
        <f>IFERROR(Ohj.lask.[[#This Row],[Painotetut pisteet 4]]/Ohj.lask.[[#Totals],[Painotetut pisteet 4]],0)</f>
        <v>3.0393890360252344E-4</v>
      </c>
      <c r="U106" s="23">
        <f>ROUND(IFERROR('1.1 Jakotaulu'!M$16*Ohj.lask.[[#This Row],[%-osuus 4]],0),0)</f>
        <v>3488</v>
      </c>
      <c r="V106" s="81">
        <f>IFERROR(ROUND(VLOOKUP($A106,'2.5 Päättäneet palaute'!$A:$AC,COLUMN('2.5 Päättäneet palaute'!AB:AB),FALSE),1),0)</f>
        <v>9964.7000000000007</v>
      </c>
      <c r="W106" s="20">
        <f>IFERROR(Ohj.lask.[[#This Row],[Painotetut pisteet 5]]/Ohj.lask.[[#Totals],[Painotetut pisteet 5]],0)</f>
        <v>1.1558068510080797E-3</v>
      </c>
      <c r="X106" s="17">
        <f>ROUND(IFERROR('1.1 Jakotaulu'!M$17*Ohj.lask.[[#This Row],[%-osuus 5]],0),0)</f>
        <v>39787</v>
      </c>
      <c r="Y106" s="19">
        <f>IFERROR(Ohj.lask.[[#This Row],[Jaettava € 6]]/Ohj.lask.[[#Totals],[Jaettava € 6]],"")</f>
        <v>4.152650119335376E-4</v>
      </c>
      <c r="Z106" s="23">
        <f>IFERROR(Ohj.lask.[[#This Row],[Jaettava € 1]]+Ohj.lask.[[#This Row],[Jaettava € 2]]+Ohj.lask.[[#This Row],[Jaettava € 3]]+Ohj.lask.[[#This Row],[Jaettava € 4]]+Ohj.lask.[[#This Row],[Jaettava € 5]],"")</f>
        <v>751731</v>
      </c>
      <c r="AA106" s="17">
        <v>0</v>
      </c>
      <c r="AB106" s="17">
        <v>0</v>
      </c>
      <c r="AC106" s="18">
        <v>0</v>
      </c>
      <c r="AD106" s="17">
        <v>0</v>
      </c>
      <c r="AE106" s="18">
        <v>0</v>
      </c>
      <c r="AF106" s="17">
        <v>0</v>
      </c>
      <c r="AG106" s="18">
        <v>0</v>
      </c>
      <c r="AH106" s="17">
        <v>0</v>
      </c>
      <c r="AI106" s="18">
        <v>0</v>
      </c>
      <c r="AJ106" s="17">
        <v>0</v>
      </c>
      <c r="AK106" s="18">
        <v>0</v>
      </c>
      <c r="AL106" s="17">
        <v>0</v>
      </c>
      <c r="AM106" s="18">
        <v>190000</v>
      </c>
      <c r="AN106" s="23">
        <v>50000</v>
      </c>
      <c r="AO106" s="17">
        <v>0</v>
      </c>
      <c r="AP106" s="17">
        <v>0</v>
      </c>
      <c r="AQ106" s="18">
        <f>IFERROR(VLOOKUP(Ohj.lask.[[#This Row],[Y-tunnus]],#REF!,COLUMN(#REF!),FALSE),0)</f>
        <v>0</v>
      </c>
      <c r="AR106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50000</v>
      </c>
      <c r="AS106" s="17">
        <f>Ohj.lask.[[#This Row],[Jaettava € 1]]+Ohj.lask.[[#This Row],[Päätös, € 9]]</f>
        <v>615242</v>
      </c>
      <c r="AT106" s="113">
        <f>Ohj.lask.[[#This Row],[Jaettava € 2]]</f>
        <v>99835</v>
      </c>
      <c r="AU106" s="17">
        <f>Ohj.lask.[[#This Row],[Jaettava € 3]]+Ohj.lask.[[#This Row],[Jaettava € 4]]+Ohj.lask.[[#This Row],[Jaettava € 5]]</f>
        <v>86654</v>
      </c>
      <c r="AV106" s="42">
        <f>Ohj.lask.[[#This Row],[Jaettava € 6]]+Ohj.lask.[[#This Row],[Päätös, € 9]]</f>
        <v>801731</v>
      </c>
      <c r="AW106" s="42">
        <v>164198</v>
      </c>
      <c r="AX106" s="23">
        <f>Ohj.lask.[[#This Row],[Perus-, suoritus- ja vaikuttavuusrahoitus yhteensä, €]]+Ohj.lask.[[#This Row],[Alv-korvaus, €]]</f>
        <v>965929</v>
      </c>
    </row>
    <row r="107" spans="1:50" ht="12.75" x14ac:dyDescent="0.2">
      <c r="A107" s="134" t="s">
        <v>306</v>
      </c>
      <c r="B107" s="14" t="s">
        <v>529</v>
      </c>
      <c r="C107" s="14" t="s">
        <v>216</v>
      </c>
      <c r="D107" s="14" t="s">
        <v>392</v>
      </c>
      <c r="E107" s="14" t="s">
        <v>438</v>
      </c>
      <c r="F107" s="117">
        <v>1430</v>
      </c>
      <c r="G107" s="124">
        <f>Ohj.lask.[[#This Row],[Tavoitteelliset opiskelija-vuodet]]-Ohj.lask.[[#This Row],[Järjestämisluvan opisk.vuosien vähimmäismäärä]]</f>
        <v>0</v>
      </c>
      <c r="H107" s="41">
        <v>1430</v>
      </c>
      <c r="I107" s="15">
        <f>IFERROR(VLOOKUP($A107,'2.1 Toteut. op.vuodet'!$A:$T,COLUMN('2.1 Toteut. op.vuodet'!T:T),FALSE),0)</f>
        <v>0.63663626536588858</v>
      </c>
      <c r="J107" s="81">
        <f t="shared" si="3"/>
        <v>910.4</v>
      </c>
      <c r="K107" s="16">
        <f>IFERROR(Ohj.lask.[[#This Row],[Painotetut opiskelija-vuodet]]/Ohj.lask.[[#Totals],[Painotetut opiskelija-vuodet]],0)</f>
        <v>4.4459377099904697E-3</v>
      </c>
      <c r="L107" s="17">
        <f>ROUND(IFERROR('1.1 Jakotaulu'!L$11*Ohj.lask.[[#This Row],[%-osuus 1]],0),0)</f>
        <v>5599530</v>
      </c>
      <c r="M107" s="186">
        <f>IFERROR(ROUND(VLOOKUP($A107,'2.2 Tutk. ja osien pain. pist.'!$A:$Q,COLUMN('2.2 Tutk. ja osien pain. pist.'!P:P),FALSE),1),0)</f>
        <v>103907.6</v>
      </c>
      <c r="N107" s="16">
        <f>IFERROR(Ohj.lask.[[#This Row],[Painotetut pisteet 2]]/Ohj.lask.[[#Totals],[Painotetut pisteet 2]],0)</f>
        <v>6.6704584282948169E-3</v>
      </c>
      <c r="O107" s="23">
        <f>ROUND(IFERROR('1.1 Jakotaulu'!K$12*Ohj.lask.[[#This Row],[%-osuus 2]],0),0)</f>
        <v>2449272</v>
      </c>
      <c r="P107" s="187">
        <f>IFERROR(ROUND(VLOOKUP($A107,'2.3 Työll. ja jatko-opisk.'!$A:$K,COLUMN('2.3 Työll. ja jatko-opisk.'!I:I),FALSE),1),0)</f>
        <v>2152.1</v>
      </c>
      <c r="Q107" s="16">
        <f>IFERROR(Ohj.lask.[[#This Row],[Painotetut pisteet 3]]/Ohj.lask.[[#Totals],[Painotetut pisteet 3]],0)</f>
        <v>1.0813328516467203E-2</v>
      </c>
      <c r="R107" s="17">
        <f>ROUND(IFERROR('1.1 Jakotaulu'!L$14*Ohj.lask.[[#This Row],[%-osuus 3]],0),0)</f>
        <v>1488922</v>
      </c>
      <c r="S107" s="186">
        <f>IFERROR(ROUND(VLOOKUP($A107,'2.4 Aloittaneet palaute'!$A:$K,COLUMN('2.4 Aloittaneet palaute'!J:J),FALSE),1),0)</f>
        <v>20066.599999999999</v>
      </c>
      <c r="T107" s="20">
        <f>IFERROR(Ohj.lask.[[#This Row],[Painotetut pisteet 4]]/Ohj.lask.[[#Totals],[Painotetut pisteet 4]],0)</f>
        <v>1.2190726370238649E-2</v>
      </c>
      <c r="U107" s="23">
        <f>ROUND(IFERROR('1.1 Jakotaulu'!M$16*Ohj.lask.[[#This Row],[%-osuus 4]],0),0)</f>
        <v>139882</v>
      </c>
      <c r="V107" s="81">
        <f>IFERROR(ROUND(VLOOKUP($A107,'2.5 Päättäneet palaute'!$A:$AC,COLUMN('2.5 Päättäneet palaute'!AB:AB),FALSE),1),0)</f>
        <v>155783.29999999999</v>
      </c>
      <c r="W107" s="20">
        <f>IFERROR(Ohj.lask.[[#This Row],[Painotetut pisteet 5]]/Ohj.lask.[[#Totals],[Painotetut pisteet 5]],0)</f>
        <v>1.8069325259430485E-2</v>
      </c>
      <c r="X107" s="17">
        <f>ROUND(IFERROR('1.1 Jakotaulu'!M$17*Ohj.lask.[[#This Row],[%-osuus 5]],0),0)</f>
        <v>622006</v>
      </c>
      <c r="Y107" s="19">
        <f>IFERROR(Ohj.lask.[[#This Row],[Jaettava € 6]]/Ohj.lask.[[#Totals],[Jaettava € 6]],"")</f>
        <v>5.6896263425225344E-3</v>
      </c>
      <c r="Z107" s="23">
        <f>IFERROR(Ohj.lask.[[#This Row],[Jaettava € 1]]+Ohj.lask.[[#This Row],[Jaettava € 2]]+Ohj.lask.[[#This Row],[Jaettava € 3]]+Ohj.lask.[[#This Row],[Jaettava € 4]]+Ohj.lask.[[#This Row],[Jaettava € 5]],"")</f>
        <v>10299612</v>
      </c>
      <c r="AA107" s="17">
        <v>0</v>
      </c>
      <c r="AB107" s="17">
        <v>0</v>
      </c>
      <c r="AC107" s="18">
        <v>0</v>
      </c>
      <c r="AD107" s="17">
        <v>0</v>
      </c>
      <c r="AE107" s="18">
        <v>0</v>
      </c>
      <c r="AF107" s="17">
        <v>0</v>
      </c>
      <c r="AG107" s="18">
        <v>0</v>
      </c>
      <c r="AH107" s="17">
        <v>0</v>
      </c>
      <c r="AI107" s="18">
        <v>0</v>
      </c>
      <c r="AJ107" s="17">
        <v>0</v>
      </c>
      <c r="AK107" s="18">
        <v>0</v>
      </c>
      <c r="AL107" s="17">
        <v>0</v>
      </c>
      <c r="AM107" s="18">
        <v>35000</v>
      </c>
      <c r="AN107" s="23">
        <v>35000</v>
      </c>
      <c r="AO107" s="17">
        <v>0</v>
      </c>
      <c r="AP107" s="17">
        <v>0</v>
      </c>
      <c r="AQ107" s="18">
        <f>IFERROR(VLOOKUP(Ohj.lask.[[#This Row],[Y-tunnus]],#REF!,COLUMN(#REF!),FALSE),0)</f>
        <v>0</v>
      </c>
      <c r="AR107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35000</v>
      </c>
      <c r="AS107" s="17">
        <f>Ohj.lask.[[#This Row],[Jaettava € 1]]+Ohj.lask.[[#This Row],[Päätös, € 9]]</f>
        <v>5634530</v>
      </c>
      <c r="AT107" s="113">
        <f>Ohj.lask.[[#This Row],[Jaettava € 2]]</f>
        <v>2449272</v>
      </c>
      <c r="AU107" s="17">
        <f>Ohj.lask.[[#This Row],[Jaettava € 3]]+Ohj.lask.[[#This Row],[Jaettava € 4]]+Ohj.lask.[[#This Row],[Jaettava € 5]]</f>
        <v>2250810</v>
      </c>
      <c r="AV107" s="42">
        <f>Ohj.lask.[[#This Row],[Jaettava € 6]]+Ohj.lask.[[#This Row],[Päätös, € 9]]</f>
        <v>10334612</v>
      </c>
      <c r="AW107" s="42">
        <v>1485852</v>
      </c>
      <c r="AX107" s="23">
        <f>Ohj.lask.[[#This Row],[Perus-, suoritus- ja vaikuttavuusrahoitus yhteensä, €]]+Ohj.lask.[[#This Row],[Alv-korvaus, €]]</f>
        <v>11820464</v>
      </c>
    </row>
    <row r="108" spans="1:50" ht="12.75" x14ac:dyDescent="0.2">
      <c r="A108" s="134" t="s">
        <v>279</v>
      </c>
      <c r="B108" s="14" t="s">
        <v>107</v>
      </c>
      <c r="C108" s="107" t="s">
        <v>224</v>
      </c>
      <c r="D108" s="107" t="s">
        <v>392</v>
      </c>
      <c r="E108" s="107" t="s">
        <v>438</v>
      </c>
      <c r="F108" s="116">
        <v>30</v>
      </c>
      <c r="G108" s="124">
        <f>Ohj.lask.[[#This Row],[Tavoitteelliset opiskelija-vuodet]]-Ohj.lask.[[#This Row],[Järjestämisluvan opisk.vuosien vähimmäismäärä]]</f>
        <v>11</v>
      </c>
      <c r="H108" s="41">
        <v>41</v>
      </c>
      <c r="I108" s="15">
        <f>IFERROR(VLOOKUP($A108,'2.1 Toteut. op.vuodet'!$A:$T,COLUMN('2.1 Toteut. op.vuodet'!T:T),FALSE),0)</f>
        <v>0.79023969382435211</v>
      </c>
      <c r="J108" s="81">
        <f t="shared" si="3"/>
        <v>32.4</v>
      </c>
      <c r="K108" s="16">
        <f>IFERROR(Ohj.lask.[[#This Row],[Painotetut opiskelija-vuodet]]/Ohj.lask.[[#Totals],[Painotetut opiskelija-vuodet]],0)</f>
        <v>1.5822537544342181E-4</v>
      </c>
      <c r="L108" s="17">
        <f>ROUND(IFERROR('1.1 Jakotaulu'!L$11*Ohj.lask.[[#This Row],[%-osuus 1]],0),0)</f>
        <v>199280</v>
      </c>
      <c r="M108" s="186">
        <f>IFERROR(ROUND(VLOOKUP($A108,'2.2 Tutk. ja osien pain. pist.'!$A:$Q,COLUMN('2.2 Tutk. ja osien pain. pist.'!P:P),FALSE),1),0)</f>
        <v>3204.9</v>
      </c>
      <c r="N108" s="16">
        <f>IFERROR(Ohj.lask.[[#This Row],[Painotetut pisteet 2]]/Ohj.lask.[[#Totals],[Painotetut pisteet 2]],0)</f>
        <v>2.0574194974036603E-4</v>
      </c>
      <c r="O108" s="23">
        <f>ROUND(IFERROR('1.1 Jakotaulu'!K$12*Ohj.lask.[[#This Row],[%-osuus 2]],0),0)</f>
        <v>75545</v>
      </c>
      <c r="P108" s="187">
        <f>IFERROR(ROUND(VLOOKUP($A108,'2.3 Työll. ja jatko-opisk.'!$A:$K,COLUMN('2.3 Työll. ja jatko-opisk.'!I:I),FALSE),1),0)</f>
        <v>65</v>
      </c>
      <c r="Q108" s="20">
        <f>IFERROR(Ohj.lask.[[#This Row],[Painotetut pisteet 3]]/Ohj.lask.[[#Totals],[Painotetut pisteet 3]],0)</f>
        <v>3.2659558271937563E-4</v>
      </c>
      <c r="R108" s="17">
        <f>ROUND(IFERROR('1.1 Jakotaulu'!L$14*Ohj.lask.[[#This Row],[%-osuus 3]],0),0)</f>
        <v>44970</v>
      </c>
      <c r="S108" s="186">
        <f>IFERROR(ROUND(VLOOKUP($A108,'2.4 Aloittaneet palaute'!$A:$K,COLUMN('2.4 Aloittaneet palaute'!J:J),FALSE),1),0)</f>
        <v>306.7</v>
      </c>
      <c r="T108" s="20">
        <f>IFERROR(Ohj.lask.[[#This Row],[Painotetut pisteet 4]]/Ohj.lask.[[#Totals],[Painotetut pisteet 4]],0)</f>
        <v>1.8632432887246439E-4</v>
      </c>
      <c r="U108" s="23">
        <f>ROUND(IFERROR('1.1 Jakotaulu'!M$16*Ohj.lask.[[#This Row],[%-osuus 4]],0),0)</f>
        <v>2138</v>
      </c>
      <c r="V108" s="81">
        <f>IFERROR(ROUND(VLOOKUP($A108,'2.5 Päättäneet palaute'!$A:$AC,COLUMN('2.5 Päättäneet palaute'!AB:AB),FALSE),1),0)</f>
        <v>5580.2</v>
      </c>
      <c r="W108" s="20">
        <f>IFERROR(Ohj.lask.[[#This Row],[Painotetut pisteet 5]]/Ohj.lask.[[#Totals],[Painotetut pisteet 5]],0)</f>
        <v>6.4724812488035617E-4</v>
      </c>
      <c r="X108" s="17">
        <f>ROUND(IFERROR('1.1 Jakotaulu'!M$17*Ohj.lask.[[#This Row],[%-osuus 5]],0),0)</f>
        <v>22280</v>
      </c>
      <c r="Y108" s="19">
        <f>IFERROR(Ohj.lask.[[#This Row],[Jaettava € 6]]/Ohj.lask.[[#Totals],[Jaettava € 6]],"")</f>
        <v>1.9014729411542E-4</v>
      </c>
      <c r="Z108" s="23">
        <f>IFERROR(Ohj.lask.[[#This Row],[Jaettava € 1]]+Ohj.lask.[[#This Row],[Jaettava € 2]]+Ohj.lask.[[#This Row],[Jaettava € 3]]+Ohj.lask.[[#This Row],[Jaettava € 4]]+Ohj.lask.[[#This Row],[Jaettava € 5]],"")</f>
        <v>344213</v>
      </c>
      <c r="AA108" s="17">
        <v>0</v>
      </c>
      <c r="AB108" s="17">
        <v>0</v>
      </c>
      <c r="AC108" s="18">
        <v>0</v>
      </c>
      <c r="AD108" s="17">
        <v>0</v>
      </c>
      <c r="AE108" s="18">
        <v>0</v>
      </c>
      <c r="AF108" s="17">
        <v>0</v>
      </c>
      <c r="AG108" s="18">
        <v>0</v>
      </c>
      <c r="AH108" s="17">
        <v>0</v>
      </c>
      <c r="AI108" s="18">
        <v>0</v>
      </c>
      <c r="AJ108" s="17">
        <v>0</v>
      </c>
      <c r="AK108" s="18">
        <v>0</v>
      </c>
      <c r="AL108" s="17">
        <v>0</v>
      </c>
      <c r="AM108" s="18">
        <v>25000</v>
      </c>
      <c r="AN108" s="23">
        <v>10000</v>
      </c>
      <c r="AO108" s="17">
        <v>0</v>
      </c>
      <c r="AP108" s="17">
        <v>0</v>
      </c>
      <c r="AQ108" s="18">
        <f>IFERROR(VLOOKUP(Ohj.lask.[[#This Row],[Y-tunnus]],#REF!,COLUMN(#REF!),FALSE),0)</f>
        <v>0</v>
      </c>
      <c r="AR108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10000</v>
      </c>
      <c r="AS108" s="17">
        <f>Ohj.lask.[[#This Row],[Jaettava € 1]]+Ohj.lask.[[#This Row],[Päätös, € 9]]</f>
        <v>209280</v>
      </c>
      <c r="AT108" s="113">
        <f>Ohj.lask.[[#This Row],[Jaettava € 2]]</f>
        <v>75545</v>
      </c>
      <c r="AU108" s="17">
        <f>Ohj.lask.[[#This Row],[Jaettava € 3]]+Ohj.lask.[[#This Row],[Jaettava € 4]]+Ohj.lask.[[#This Row],[Jaettava € 5]]</f>
        <v>69388</v>
      </c>
      <c r="AV108" s="42">
        <f>Ohj.lask.[[#This Row],[Jaettava € 6]]+Ohj.lask.[[#This Row],[Päätös, € 9]]</f>
        <v>354213</v>
      </c>
      <c r="AW108" s="42">
        <v>10956</v>
      </c>
      <c r="AX108" s="23">
        <f>Ohj.lask.[[#This Row],[Perus-, suoritus- ja vaikuttavuusrahoitus yhteensä, €]]+Ohj.lask.[[#This Row],[Alv-korvaus, €]]</f>
        <v>365169</v>
      </c>
    </row>
    <row r="109" spans="1:50" ht="12.75" x14ac:dyDescent="0.2">
      <c r="A109" s="134" t="s">
        <v>276</v>
      </c>
      <c r="B109" s="14" t="s">
        <v>108</v>
      </c>
      <c r="C109" s="14" t="s">
        <v>274</v>
      </c>
      <c r="D109" s="14" t="s">
        <v>392</v>
      </c>
      <c r="E109" s="14" t="s">
        <v>438</v>
      </c>
      <c r="F109" s="117">
        <v>50</v>
      </c>
      <c r="G109" s="124">
        <f>Ohj.lask.[[#This Row],[Tavoitteelliset opiskelija-vuodet]]-Ohj.lask.[[#This Row],[Järjestämisluvan opisk.vuosien vähimmäismäärä]]</f>
        <v>0</v>
      </c>
      <c r="H109" s="41">
        <v>50</v>
      </c>
      <c r="I109" s="15">
        <f>IFERROR(VLOOKUP($A109,'2.1 Toteut. op.vuodet'!$A:$T,COLUMN('2.1 Toteut. op.vuodet'!T:T),FALSE),0)</f>
        <v>0.94323693782999507</v>
      </c>
      <c r="J109" s="81">
        <f t="shared" si="3"/>
        <v>47.2</v>
      </c>
      <c r="K109" s="16">
        <f>IFERROR(Ohj.lask.[[#This Row],[Painotetut opiskelija-vuodet]]/Ohj.lask.[[#Totals],[Painotetut opiskelija-vuodet]],0)</f>
        <v>2.3050116422621944E-4</v>
      </c>
      <c r="L109" s="17">
        <f>ROUND(IFERROR('1.1 Jakotaulu'!L$11*Ohj.lask.[[#This Row],[%-osuus 1]],0),0)</f>
        <v>290310</v>
      </c>
      <c r="M109" s="186">
        <f>IFERROR(ROUND(VLOOKUP($A109,'2.2 Tutk. ja osien pain. pist.'!$A:$Q,COLUMN('2.2 Tutk. ja osien pain. pist.'!P:P),FALSE),1),0)</f>
        <v>5366.8</v>
      </c>
      <c r="N109" s="16">
        <f>IFERROR(Ohj.lask.[[#This Row],[Painotetut pisteet 2]]/Ohj.lask.[[#Totals],[Painotetut pisteet 2]],0)</f>
        <v>3.4452740986196025E-4</v>
      </c>
      <c r="O109" s="23">
        <f>ROUND(IFERROR('1.1 Jakotaulu'!K$12*Ohj.lask.[[#This Row],[%-osuus 2]],0),0)</f>
        <v>126504</v>
      </c>
      <c r="P109" s="187">
        <f>IFERROR(ROUND(VLOOKUP($A109,'2.3 Työll. ja jatko-opisk.'!$A:$K,COLUMN('2.3 Työll. ja jatko-opisk.'!I:I),FALSE),1),0)</f>
        <v>100.1</v>
      </c>
      <c r="Q109" s="16">
        <f>IFERROR(Ohj.lask.[[#This Row],[Painotetut pisteet 3]]/Ohj.lask.[[#Totals],[Painotetut pisteet 3]],0)</f>
        <v>5.0295719738783844E-4</v>
      </c>
      <c r="R109" s="17">
        <f>ROUND(IFERROR('1.1 Jakotaulu'!L$14*Ohj.lask.[[#This Row],[%-osuus 3]],0),0)</f>
        <v>69254</v>
      </c>
      <c r="S109" s="186">
        <f>IFERROR(ROUND(VLOOKUP($A109,'2.4 Aloittaneet palaute'!$A:$K,COLUMN('2.4 Aloittaneet palaute'!J:J),FALSE),1),0)</f>
        <v>713.3</v>
      </c>
      <c r="T109" s="20">
        <f>IFERROR(Ohj.lask.[[#This Row],[Painotetut pisteet 4]]/Ohj.lask.[[#Totals],[Painotetut pisteet 4]],0)</f>
        <v>4.3333923633755736E-4</v>
      </c>
      <c r="U109" s="23">
        <f>ROUND(IFERROR('1.1 Jakotaulu'!M$16*Ohj.lask.[[#This Row],[%-osuus 4]],0),0)</f>
        <v>4972</v>
      </c>
      <c r="V109" s="81">
        <f>IFERROR(ROUND(VLOOKUP($A109,'2.5 Päättäneet palaute'!$A:$AC,COLUMN('2.5 Päättäneet palaute'!AB:AB),FALSE),1),0)</f>
        <v>4463.1000000000004</v>
      </c>
      <c r="W109" s="20">
        <f>IFERROR(Ohj.lask.[[#This Row],[Painotetut pisteet 5]]/Ohj.lask.[[#Totals],[Painotetut pisteet 5]],0)</f>
        <v>5.1767555036620876E-4</v>
      </c>
      <c r="X109" s="17">
        <f>ROUND(IFERROR('1.1 Jakotaulu'!M$17*Ohj.lask.[[#This Row],[%-osuus 5]],0),0)</f>
        <v>17820</v>
      </c>
      <c r="Y109" s="19">
        <f>IFERROR(Ohj.lask.[[#This Row],[Jaettava € 6]]/Ohj.lask.[[#Totals],[Jaettava € 6]],"")</f>
        <v>2.8110022597511606E-4</v>
      </c>
      <c r="Z109" s="23">
        <f>IFERROR(Ohj.lask.[[#This Row],[Jaettava € 1]]+Ohj.lask.[[#This Row],[Jaettava € 2]]+Ohj.lask.[[#This Row],[Jaettava € 3]]+Ohj.lask.[[#This Row],[Jaettava € 4]]+Ohj.lask.[[#This Row],[Jaettava € 5]],"")</f>
        <v>508860</v>
      </c>
      <c r="AA109" s="17">
        <v>0</v>
      </c>
      <c r="AB109" s="17">
        <v>0</v>
      </c>
      <c r="AC109" s="18">
        <v>0</v>
      </c>
      <c r="AD109" s="17">
        <v>0</v>
      </c>
      <c r="AE109" s="18">
        <v>0</v>
      </c>
      <c r="AF109" s="17">
        <v>0</v>
      </c>
      <c r="AG109" s="18">
        <v>0</v>
      </c>
      <c r="AH109" s="17">
        <v>0</v>
      </c>
      <c r="AI109" s="18">
        <v>0</v>
      </c>
      <c r="AJ109" s="17">
        <v>0</v>
      </c>
      <c r="AK109" s="18">
        <v>0</v>
      </c>
      <c r="AL109" s="17">
        <v>0</v>
      </c>
      <c r="AM109" s="18">
        <v>0</v>
      </c>
      <c r="AN109" s="23">
        <v>0</v>
      </c>
      <c r="AO109" s="17">
        <v>0</v>
      </c>
      <c r="AP109" s="17">
        <v>0</v>
      </c>
      <c r="AQ109" s="18">
        <f>IFERROR(VLOOKUP(Ohj.lask.[[#This Row],[Y-tunnus]],#REF!,COLUMN(#REF!),FALSE),0)</f>
        <v>0</v>
      </c>
      <c r="AR109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09" s="17">
        <f>Ohj.lask.[[#This Row],[Jaettava € 1]]+Ohj.lask.[[#This Row],[Päätös, € 9]]</f>
        <v>290310</v>
      </c>
      <c r="AT109" s="113">
        <f>Ohj.lask.[[#This Row],[Jaettava € 2]]</f>
        <v>126504</v>
      </c>
      <c r="AU109" s="17">
        <f>Ohj.lask.[[#This Row],[Jaettava € 3]]+Ohj.lask.[[#This Row],[Jaettava € 4]]+Ohj.lask.[[#This Row],[Jaettava € 5]]</f>
        <v>92046</v>
      </c>
      <c r="AV109" s="42">
        <f>Ohj.lask.[[#This Row],[Jaettava € 6]]+Ohj.lask.[[#This Row],[Päätös, € 9]]</f>
        <v>508860</v>
      </c>
      <c r="AW109" s="42">
        <v>24601</v>
      </c>
      <c r="AX109" s="23">
        <f>Ohj.lask.[[#This Row],[Perus-, suoritus- ja vaikuttavuusrahoitus yhteensä, €]]+Ohj.lask.[[#This Row],[Alv-korvaus, €]]</f>
        <v>533461</v>
      </c>
    </row>
    <row r="110" spans="1:50" ht="12.75" x14ac:dyDescent="0.2">
      <c r="A110" s="134" t="s">
        <v>275</v>
      </c>
      <c r="B110" s="14" t="s">
        <v>109</v>
      </c>
      <c r="C110" s="14" t="s">
        <v>274</v>
      </c>
      <c r="D110" s="14" t="s">
        <v>391</v>
      </c>
      <c r="E110" s="14" t="s">
        <v>438</v>
      </c>
      <c r="F110" s="117">
        <v>3103</v>
      </c>
      <c r="G110" s="124">
        <f>Ohj.lask.[[#This Row],[Tavoitteelliset opiskelija-vuodet]]-Ohj.lask.[[#This Row],[Järjestämisluvan opisk.vuosien vähimmäismäärä]]</f>
        <v>214</v>
      </c>
      <c r="H110" s="41">
        <v>3317</v>
      </c>
      <c r="I110" s="15">
        <f>IFERROR(VLOOKUP($A110,'2.1 Toteut. op.vuodet'!$A:$T,COLUMN('2.1 Toteut. op.vuodet'!T:T),FALSE),0)</f>
        <v>1.1857368432973459</v>
      </c>
      <c r="J110" s="81">
        <f t="shared" si="3"/>
        <v>3933.1</v>
      </c>
      <c r="K110" s="16">
        <f>IFERROR(Ohj.lask.[[#This Row],[Painotetut opiskelija-vuodet]]/Ohj.lask.[[#Totals],[Painotetut opiskelija-vuodet]],0)</f>
        <v>1.9207290869028466E-2</v>
      </c>
      <c r="L110" s="17">
        <f>ROUND(IFERROR('1.1 Jakotaulu'!L$11*Ohj.lask.[[#This Row],[%-osuus 1]],0),0)</f>
        <v>24191026</v>
      </c>
      <c r="M110" s="186">
        <f>IFERROR(ROUND(VLOOKUP($A110,'2.2 Tutk. ja osien pain. pist.'!$A:$Q,COLUMN('2.2 Tutk. ja osien pain. pist.'!P:P),FALSE),1),0)</f>
        <v>271087.3</v>
      </c>
      <c r="N110" s="16">
        <f>IFERROR(Ohj.lask.[[#This Row],[Painotetut pisteet 2]]/Ohj.lask.[[#Totals],[Painotetut pisteet 2]],0)</f>
        <v>1.7402736326204104E-2</v>
      </c>
      <c r="O110" s="23">
        <f>ROUND(IFERROR('1.1 Jakotaulu'!K$12*Ohj.lask.[[#This Row],[%-osuus 2]],0),0)</f>
        <v>6389972</v>
      </c>
      <c r="P110" s="187">
        <f>IFERROR(ROUND(VLOOKUP($A110,'2.3 Työll. ja jatko-opisk.'!$A:$K,COLUMN('2.3 Työll. ja jatko-opisk.'!I:I),FALSE),1),0)</f>
        <v>4373.2</v>
      </c>
      <c r="Q110" s="16">
        <f>IFERROR(Ohj.lask.[[#This Row],[Painotetut pisteet 3]]/Ohj.lask.[[#Totals],[Painotetut pisteet 3]],0)</f>
        <v>2.1973350805359591E-2</v>
      </c>
      <c r="R110" s="17">
        <f>ROUND(IFERROR('1.1 Jakotaulu'!L$14*Ohj.lask.[[#This Row],[%-osuus 3]],0),0)</f>
        <v>3025582</v>
      </c>
      <c r="S110" s="186">
        <f>IFERROR(ROUND(VLOOKUP($A110,'2.4 Aloittaneet palaute'!$A:$K,COLUMN('2.4 Aloittaneet palaute'!J:J),FALSE),1),0)</f>
        <v>31298.2</v>
      </c>
      <c r="T110" s="20">
        <f>IFERROR(Ohj.lask.[[#This Row],[Painotetut pisteet 4]]/Ohj.lask.[[#Totals],[Painotetut pisteet 4]],0)</f>
        <v>1.9014072741819908E-2</v>
      </c>
      <c r="U110" s="23">
        <f>ROUND(IFERROR('1.1 Jakotaulu'!M$16*Ohj.lask.[[#This Row],[%-osuus 4]],0),0)</f>
        <v>218176</v>
      </c>
      <c r="V110" s="81">
        <f>IFERROR(ROUND(VLOOKUP($A110,'2.5 Päättäneet palaute'!$A:$AC,COLUMN('2.5 Päättäneet palaute'!AB:AB),FALSE),1),0)</f>
        <v>182618.3</v>
      </c>
      <c r="W110" s="20">
        <f>IFERROR(Ohj.lask.[[#This Row],[Painotetut pisteet 5]]/Ohj.lask.[[#Totals],[Painotetut pisteet 5]],0)</f>
        <v>2.1181920404974436E-2</v>
      </c>
      <c r="X110" s="17">
        <f>ROUND(IFERROR('1.1 Jakotaulu'!M$17*Ohj.lask.[[#This Row],[%-osuus 5]],0),0)</f>
        <v>729152</v>
      </c>
      <c r="Y110" s="19">
        <f>IFERROR(Ohj.lask.[[#This Row],[Jaettava € 6]]/Ohj.lask.[[#Totals],[Jaettava € 6]],"")</f>
        <v>1.9087983624421982E-2</v>
      </c>
      <c r="Z110" s="23">
        <f>IFERROR(Ohj.lask.[[#This Row],[Jaettava € 1]]+Ohj.lask.[[#This Row],[Jaettava € 2]]+Ohj.lask.[[#This Row],[Jaettava € 3]]+Ohj.lask.[[#This Row],[Jaettava € 4]]+Ohj.lask.[[#This Row],[Jaettava € 5]],"")</f>
        <v>34553908</v>
      </c>
      <c r="AA110" s="17">
        <v>662226</v>
      </c>
      <c r="AB110" s="17">
        <v>0</v>
      </c>
      <c r="AC110" s="18">
        <v>0</v>
      </c>
      <c r="AD110" s="17">
        <v>0</v>
      </c>
      <c r="AE110" s="18">
        <v>0</v>
      </c>
      <c r="AF110" s="17">
        <v>0</v>
      </c>
      <c r="AG110" s="18">
        <v>110200</v>
      </c>
      <c r="AH110" s="17">
        <v>0</v>
      </c>
      <c r="AI110" s="18">
        <v>225000</v>
      </c>
      <c r="AJ110" s="17">
        <v>80000</v>
      </c>
      <c r="AK110" s="18">
        <v>0</v>
      </c>
      <c r="AL110" s="17">
        <v>0</v>
      </c>
      <c r="AM110" s="18">
        <v>0</v>
      </c>
      <c r="AN110" s="23">
        <v>0</v>
      </c>
      <c r="AO110" s="17">
        <v>37500</v>
      </c>
      <c r="AP110" s="17">
        <v>20000</v>
      </c>
      <c r="AQ110" s="18">
        <f>IFERROR(VLOOKUP(Ohj.lask.[[#This Row],[Y-tunnus]],#REF!,COLUMN(#REF!),FALSE),0)</f>
        <v>0</v>
      </c>
      <c r="AR110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100000</v>
      </c>
      <c r="AS110" s="17">
        <f>Ohj.lask.[[#This Row],[Jaettava € 1]]+Ohj.lask.[[#This Row],[Päätös, € 9]]</f>
        <v>24291026</v>
      </c>
      <c r="AT110" s="113">
        <f>Ohj.lask.[[#This Row],[Jaettava € 2]]</f>
        <v>6389972</v>
      </c>
      <c r="AU110" s="17">
        <f>Ohj.lask.[[#This Row],[Jaettava € 3]]+Ohj.lask.[[#This Row],[Jaettava € 4]]+Ohj.lask.[[#This Row],[Jaettava € 5]]</f>
        <v>3972910</v>
      </c>
      <c r="AV110" s="42">
        <f>Ohj.lask.[[#This Row],[Jaettava € 6]]+Ohj.lask.[[#This Row],[Päätös, € 9]]</f>
        <v>34653908</v>
      </c>
      <c r="AW110" s="42">
        <v>0</v>
      </c>
      <c r="AX110" s="23">
        <f>Ohj.lask.[[#This Row],[Perus-, suoritus- ja vaikuttavuusrahoitus yhteensä, €]]+Ohj.lask.[[#This Row],[Alv-korvaus, €]]</f>
        <v>34653908</v>
      </c>
    </row>
    <row r="111" spans="1:50" ht="12.75" x14ac:dyDescent="0.2">
      <c r="A111" s="134" t="s">
        <v>273</v>
      </c>
      <c r="B111" s="14" t="s">
        <v>110</v>
      </c>
      <c r="C111" s="14" t="s">
        <v>232</v>
      </c>
      <c r="D111" s="14" t="s">
        <v>391</v>
      </c>
      <c r="E111" s="14" t="s">
        <v>438</v>
      </c>
      <c r="F111" s="117">
        <v>1889</v>
      </c>
      <c r="G111" s="124">
        <f>Ohj.lask.[[#This Row],[Tavoitteelliset opiskelija-vuodet]]-Ohj.lask.[[#This Row],[Järjestämisluvan opisk.vuosien vähimmäismäärä]]</f>
        <v>80</v>
      </c>
      <c r="H111" s="41">
        <v>1969</v>
      </c>
      <c r="I111" s="15">
        <f>IFERROR(VLOOKUP($A111,'2.1 Toteut. op.vuodet'!$A:$T,COLUMN('2.1 Toteut. op.vuodet'!T:T),FALSE),0)</f>
        <v>1.0771904209574124</v>
      </c>
      <c r="J111" s="81">
        <f t="shared" si="3"/>
        <v>2121</v>
      </c>
      <c r="K111" s="16">
        <f>IFERROR(Ohj.lask.[[#This Row],[Painotetut opiskelija-vuodet]]/Ohj.lask.[[#Totals],[Painotetut opiskelija-vuodet]],0)</f>
        <v>1.0357901892453631E-2</v>
      </c>
      <c r="L111" s="17">
        <f>ROUND(IFERROR('1.1 Jakotaulu'!L$11*Ohj.lask.[[#This Row],[%-osuus 1]],0),0)</f>
        <v>13045477</v>
      </c>
      <c r="M111" s="186">
        <f>IFERROR(ROUND(VLOOKUP($A111,'2.2 Tutk. ja osien pain. pist.'!$A:$Q,COLUMN('2.2 Tutk. ja osien pain. pist.'!P:P),FALSE),1),0)</f>
        <v>188149.5</v>
      </c>
      <c r="N111" s="16">
        <f>IFERROR(Ohj.lask.[[#This Row],[Painotetut pisteet 2]]/Ohj.lask.[[#Totals],[Painotetut pisteet 2]],0)</f>
        <v>1.2078456417571531E-2</v>
      </c>
      <c r="O111" s="23">
        <f>ROUND(IFERROR('1.1 Jakotaulu'!K$12*Ohj.lask.[[#This Row],[%-osuus 2]],0),0)</f>
        <v>4434992</v>
      </c>
      <c r="P111" s="187">
        <f>IFERROR(ROUND(VLOOKUP($A111,'2.3 Työll. ja jatko-opisk.'!$A:$K,COLUMN('2.3 Työll. ja jatko-opisk.'!I:I),FALSE),1),0)</f>
        <v>2425.1</v>
      </c>
      <c r="Q111" s="16">
        <f>IFERROR(Ohj.lask.[[#This Row],[Painotetut pisteet 3]]/Ohj.lask.[[#Totals],[Painotetut pisteet 3]],0)</f>
        <v>1.2185029963888582E-2</v>
      </c>
      <c r="R111" s="17">
        <f>ROUND(IFERROR('1.1 Jakotaulu'!L$14*Ohj.lask.[[#This Row],[%-osuus 3]],0),0)</f>
        <v>1677796</v>
      </c>
      <c r="S111" s="186">
        <f>IFERROR(ROUND(VLOOKUP($A111,'2.4 Aloittaneet palaute'!$A:$K,COLUMN('2.4 Aloittaneet palaute'!J:J),FALSE),1),0)</f>
        <v>18489.3</v>
      </c>
      <c r="T111" s="20">
        <f>IFERROR(Ohj.lask.[[#This Row],[Painotetut pisteet 4]]/Ohj.lask.[[#Totals],[Painotetut pisteet 4]],0)</f>
        <v>1.1232495643370251E-2</v>
      </c>
      <c r="U111" s="23">
        <f>ROUND(IFERROR('1.1 Jakotaulu'!M$16*Ohj.lask.[[#This Row],[%-osuus 4]],0),0)</f>
        <v>128887</v>
      </c>
      <c r="V111" s="81">
        <f>IFERROR(ROUND(VLOOKUP($A111,'2.5 Päättäneet palaute'!$A:$AC,COLUMN('2.5 Päättäneet palaute'!AB:AB),FALSE),1),0)</f>
        <v>109745.1</v>
      </c>
      <c r="W111" s="20">
        <f>IFERROR(Ohj.lask.[[#This Row],[Painotetut pisteet 5]]/Ohj.lask.[[#Totals],[Painotetut pisteet 5]],0)</f>
        <v>1.2729348444465645E-2</v>
      </c>
      <c r="X111" s="17">
        <f>ROUND(IFERROR('1.1 Jakotaulu'!M$17*Ohj.lask.[[#This Row],[%-osuus 5]],0),0)</f>
        <v>438186</v>
      </c>
      <c r="Y111" s="19">
        <f>IFERROR(Ohj.lask.[[#This Row],[Jaettava € 6]]/Ohj.lask.[[#Totals],[Jaettava € 6]],"")</f>
        <v>1.0896507819902417E-2</v>
      </c>
      <c r="Z111" s="23">
        <f>IFERROR(Ohj.lask.[[#This Row],[Jaettava € 1]]+Ohj.lask.[[#This Row],[Jaettava € 2]]+Ohj.lask.[[#This Row],[Jaettava € 3]]+Ohj.lask.[[#This Row],[Jaettava € 4]]+Ohj.lask.[[#This Row],[Jaettava € 5]],"")</f>
        <v>19725338</v>
      </c>
      <c r="AA111" s="17">
        <v>0</v>
      </c>
      <c r="AB111" s="17">
        <v>0</v>
      </c>
      <c r="AC111" s="18">
        <v>0</v>
      </c>
      <c r="AD111" s="17">
        <v>0</v>
      </c>
      <c r="AE111" s="18">
        <v>0</v>
      </c>
      <c r="AF111" s="17">
        <v>0</v>
      </c>
      <c r="AG111" s="18">
        <v>0</v>
      </c>
      <c r="AH111" s="17">
        <v>0</v>
      </c>
      <c r="AI111" s="18">
        <v>0</v>
      </c>
      <c r="AJ111" s="17">
        <v>0</v>
      </c>
      <c r="AK111" s="18">
        <v>0</v>
      </c>
      <c r="AL111" s="17">
        <v>0</v>
      </c>
      <c r="AM111" s="18">
        <v>0</v>
      </c>
      <c r="AN111" s="23">
        <v>0</v>
      </c>
      <c r="AO111" s="17">
        <v>0</v>
      </c>
      <c r="AP111" s="17">
        <v>0</v>
      </c>
      <c r="AQ111" s="18">
        <f>IFERROR(VLOOKUP(Ohj.lask.[[#This Row],[Y-tunnus]],#REF!,COLUMN(#REF!),FALSE),0)</f>
        <v>0</v>
      </c>
      <c r="AR111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11" s="17">
        <f>Ohj.lask.[[#This Row],[Jaettava € 1]]+Ohj.lask.[[#This Row],[Päätös, € 9]]</f>
        <v>13045477</v>
      </c>
      <c r="AT111" s="113">
        <f>Ohj.lask.[[#This Row],[Jaettava € 2]]</f>
        <v>4434992</v>
      </c>
      <c r="AU111" s="17">
        <f>Ohj.lask.[[#This Row],[Jaettava € 3]]+Ohj.lask.[[#This Row],[Jaettava € 4]]+Ohj.lask.[[#This Row],[Jaettava € 5]]</f>
        <v>2244869</v>
      </c>
      <c r="AV111" s="42">
        <f>Ohj.lask.[[#This Row],[Jaettava € 6]]+Ohj.lask.[[#This Row],[Päätös, € 9]]</f>
        <v>19725338</v>
      </c>
      <c r="AW111" s="42">
        <v>0</v>
      </c>
      <c r="AX111" s="23">
        <f>Ohj.lask.[[#This Row],[Perus-, suoritus- ja vaikuttavuusrahoitus yhteensä, €]]+Ohj.lask.[[#This Row],[Alv-korvaus, €]]</f>
        <v>19725338</v>
      </c>
    </row>
    <row r="112" spans="1:50" ht="12.75" x14ac:dyDescent="0.2">
      <c r="A112" s="134" t="s">
        <v>272</v>
      </c>
      <c r="B112" s="14" t="s">
        <v>202</v>
      </c>
      <c r="C112" s="14" t="s">
        <v>216</v>
      </c>
      <c r="D112" s="14" t="s">
        <v>392</v>
      </c>
      <c r="E112" s="14" t="s">
        <v>438</v>
      </c>
      <c r="F112" s="117">
        <v>0</v>
      </c>
      <c r="G112" s="124">
        <f>Ohj.lask.[[#This Row],[Tavoitteelliset opiskelija-vuodet]]-Ohj.lask.[[#This Row],[Järjestämisluvan opisk.vuosien vähimmäismäärä]]</f>
        <v>0</v>
      </c>
      <c r="H112" s="41">
        <v>0</v>
      </c>
      <c r="I112" s="15">
        <f>IFERROR(VLOOKUP($A112,'2.1 Toteut. op.vuodet'!$A:$T,COLUMN('2.1 Toteut. op.vuodet'!T:T),FALSE),0)</f>
        <v>0</v>
      </c>
      <c r="J112" s="81">
        <f t="shared" si="3"/>
        <v>0</v>
      </c>
      <c r="K112" s="16">
        <f>IFERROR(Ohj.lask.[[#This Row],[Painotetut opiskelija-vuodet]]/Ohj.lask.[[#Totals],[Painotetut opiskelija-vuodet]],0)</f>
        <v>0</v>
      </c>
      <c r="L112" s="17">
        <f>ROUND(IFERROR('1.1 Jakotaulu'!L$11*Ohj.lask.[[#This Row],[%-osuus 1]],0),0)</f>
        <v>0</v>
      </c>
      <c r="M112" s="186">
        <f>IFERROR(ROUND(VLOOKUP($A112,'2.2 Tutk. ja osien pain. pist.'!$A:$Q,COLUMN('2.2 Tutk. ja osien pain. pist.'!P:P),FALSE),1),0)</f>
        <v>0</v>
      </c>
      <c r="N112" s="16">
        <f>IFERROR(Ohj.lask.[[#This Row],[Painotetut pisteet 2]]/Ohj.lask.[[#Totals],[Painotetut pisteet 2]],0)</f>
        <v>0</v>
      </c>
      <c r="O112" s="23">
        <f>ROUND(IFERROR('1.1 Jakotaulu'!K$12*Ohj.lask.[[#This Row],[%-osuus 2]],0),0)</f>
        <v>0</v>
      </c>
      <c r="P112" s="187">
        <f>IFERROR(ROUND(VLOOKUP($A112,'2.3 Työll. ja jatko-opisk.'!$A:$K,COLUMN('2.3 Työll. ja jatko-opisk.'!I:I),FALSE),1),0)</f>
        <v>0</v>
      </c>
      <c r="Q112" s="16">
        <f>IFERROR(Ohj.lask.[[#This Row],[Painotetut pisteet 3]]/Ohj.lask.[[#Totals],[Painotetut pisteet 3]],0)</f>
        <v>0</v>
      </c>
      <c r="R112" s="17">
        <f>ROUND(IFERROR('1.1 Jakotaulu'!L$14*Ohj.lask.[[#This Row],[%-osuus 3]],0),0)</f>
        <v>0</v>
      </c>
      <c r="S112" s="186">
        <f>IFERROR(ROUND(VLOOKUP($A112,'2.4 Aloittaneet palaute'!$A:$K,COLUMN('2.4 Aloittaneet palaute'!J:J),FALSE),1),0)</f>
        <v>0</v>
      </c>
      <c r="T112" s="20">
        <f>IFERROR(Ohj.lask.[[#This Row],[Painotetut pisteet 4]]/Ohj.lask.[[#Totals],[Painotetut pisteet 4]],0)</f>
        <v>0</v>
      </c>
      <c r="U112" s="23">
        <f>ROUND(IFERROR('1.1 Jakotaulu'!M$16*Ohj.lask.[[#This Row],[%-osuus 4]],0),0)</f>
        <v>0</v>
      </c>
      <c r="V112" s="81">
        <f>IFERROR(ROUND(VLOOKUP($A112,'2.5 Päättäneet palaute'!$A:$AC,COLUMN('2.5 Päättäneet palaute'!AB:AB),FALSE),1),0)</f>
        <v>0</v>
      </c>
      <c r="W112" s="20">
        <f>IFERROR(Ohj.lask.[[#This Row],[Painotetut pisteet 5]]/Ohj.lask.[[#Totals],[Painotetut pisteet 5]],0)</f>
        <v>0</v>
      </c>
      <c r="X112" s="17">
        <f>ROUND(IFERROR('1.1 Jakotaulu'!M$17*Ohj.lask.[[#This Row],[%-osuus 5]],0),0)</f>
        <v>0</v>
      </c>
      <c r="Y112" s="19">
        <f>IFERROR(Ohj.lask.[[#This Row],[Jaettava € 6]]/Ohj.lask.[[#Totals],[Jaettava € 6]],"")</f>
        <v>0</v>
      </c>
      <c r="Z112" s="23">
        <f>IFERROR(Ohj.lask.[[#This Row],[Jaettava € 1]]+Ohj.lask.[[#This Row],[Jaettava € 2]]+Ohj.lask.[[#This Row],[Jaettava € 3]]+Ohj.lask.[[#This Row],[Jaettava € 4]]+Ohj.lask.[[#This Row],[Jaettava € 5]],"")</f>
        <v>0</v>
      </c>
      <c r="AA112" s="17">
        <v>0</v>
      </c>
      <c r="AB112" s="17">
        <v>0</v>
      </c>
      <c r="AC112" s="18">
        <v>0</v>
      </c>
      <c r="AD112" s="17">
        <v>0</v>
      </c>
      <c r="AE112" s="18">
        <v>0</v>
      </c>
      <c r="AF112" s="17">
        <v>0</v>
      </c>
      <c r="AG112" s="18">
        <v>0</v>
      </c>
      <c r="AH112" s="17">
        <v>0</v>
      </c>
      <c r="AI112" s="18">
        <v>0</v>
      </c>
      <c r="AJ112" s="17">
        <v>0</v>
      </c>
      <c r="AK112" s="18">
        <v>0</v>
      </c>
      <c r="AL112" s="17">
        <v>0</v>
      </c>
      <c r="AM112" s="18">
        <v>0</v>
      </c>
      <c r="AN112" s="23">
        <v>0</v>
      </c>
      <c r="AO112" s="17">
        <v>0</v>
      </c>
      <c r="AP112" s="17">
        <v>0</v>
      </c>
      <c r="AQ112" s="18">
        <f>IFERROR(VLOOKUP(Ohj.lask.[[#This Row],[Y-tunnus]],#REF!,COLUMN(#REF!),FALSE),0)</f>
        <v>0</v>
      </c>
      <c r="AR112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12" s="17">
        <f>Ohj.lask.[[#This Row],[Jaettava € 1]]+Ohj.lask.[[#This Row],[Päätös, € 9]]</f>
        <v>0</v>
      </c>
      <c r="AT112" s="113">
        <f>Ohj.lask.[[#This Row],[Jaettava € 2]]</f>
        <v>0</v>
      </c>
      <c r="AU112" s="17">
        <f>Ohj.lask.[[#This Row],[Jaettava € 3]]+Ohj.lask.[[#This Row],[Jaettava € 4]]+Ohj.lask.[[#This Row],[Jaettava € 5]]</f>
        <v>0</v>
      </c>
      <c r="AV112" s="42">
        <f>Ohj.lask.[[#This Row],[Jaettava € 6]]+Ohj.lask.[[#This Row],[Päätös, € 9]]</f>
        <v>0</v>
      </c>
      <c r="AW112" s="42">
        <v>0</v>
      </c>
      <c r="AX112" s="23">
        <f>Ohj.lask.[[#This Row],[Perus-, suoritus- ja vaikuttavuusrahoitus yhteensä, €]]+Ohj.lask.[[#This Row],[Alv-korvaus, €]]</f>
        <v>0</v>
      </c>
    </row>
    <row r="113" spans="1:50" ht="12.75" x14ac:dyDescent="0.2">
      <c r="A113" s="134" t="s">
        <v>271</v>
      </c>
      <c r="B113" s="14" t="s">
        <v>111</v>
      </c>
      <c r="C113" s="14" t="s">
        <v>227</v>
      </c>
      <c r="D113" s="14" t="s">
        <v>391</v>
      </c>
      <c r="E113" s="14" t="s">
        <v>438</v>
      </c>
      <c r="F113" s="117">
        <v>3324</v>
      </c>
      <c r="G113" s="124">
        <f>Ohj.lask.[[#This Row],[Tavoitteelliset opiskelija-vuodet]]-Ohj.lask.[[#This Row],[Järjestämisluvan opisk.vuosien vähimmäismäärä]]</f>
        <v>461</v>
      </c>
      <c r="H113" s="41">
        <v>3785</v>
      </c>
      <c r="I113" s="15">
        <f>IFERROR(VLOOKUP($A113,'2.1 Toteut. op.vuodet'!$A:$T,COLUMN('2.1 Toteut. op.vuodet'!T:T),FALSE),0)</f>
        <v>1.0226216963288206</v>
      </c>
      <c r="J113" s="81">
        <f t="shared" si="3"/>
        <v>3870.6</v>
      </c>
      <c r="K113" s="16">
        <f>IFERROR(Ohj.lask.[[#This Row],[Painotetut opiskelija-vuodet]]/Ohj.lask.[[#Totals],[Painotetut opiskelija-vuodet]],0)</f>
        <v>1.8902072166398408E-2</v>
      </c>
      <c r="L113" s="17">
        <f>ROUND(IFERROR('1.1 Jakotaulu'!L$11*Ohj.lask.[[#This Row],[%-osuus 1]],0),0)</f>
        <v>23806612</v>
      </c>
      <c r="M113" s="186">
        <f>IFERROR(ROUND(VLOOKUP($A113,'2.2 Tutk. ja osien pain. pist.'!$A:$Q,COLUMN('2.2 Tutk. ja osien pain. pist.'!P:P),FALSE),1),0)</f>
        <v>310069.5</v>
      </c>
      <c r="N113" s="16">
        <f>IFERROR(Ohj.lask.[[#This Row],[Painotetut pisteet 2]]/Ohj.lask.[[#Totals],[Painotetut pisteet 2]],0)</f>
        <v>1.990523994041013E-2</v>
      </c>
      <c r="O113" s="23">
        <f>ROUND(IFERROR('1.1 Jakotaulu'!K$12*Ohj.lask.[[#This Row],[%-osuus 2]],0),0)</f>
        <v>7308846</v>
      </c>
      <c r="P113" s="187">
        <f>IFERROR(ROUND(VLOOKUP($A113,'2.3 Työll. ja jatko-opisk.'!$A:$K,COLUMN('2.3 Työll. ja jatko-opisk.'!I:I),FALSE),1),0)</f>
        <v>3438.8</v>
      </c>
      <c r="Q113" s="16">
        <f>IFERROR(Ohj.lask.[[#This Row],[Painotetut pisteet 3]]/Ohj.lask.[[#Totals],[Painotetut pisteet 3]],0)</f>
        <v>1.7278413690082907E-2</v>
      </c>
      <c r="R113" s="17">
        <f>ROUND(IFERROR('1.1 Jakotaulu'!L$14*Ohj.lask.[[#This Row],[%-osuus 3]],0),0)</f>
        <v>2379121</v>
      </c>
      <c r="S113" s="186">
        <f>IFERROR(ROUND(VLOOKUP($A113,'2.4 Aloittaneet palaute'!$A:$K,COLUMN('2.4 Aloittaneet palaute'!J:J),FALSE),1),0)</f>
        <v>35079</v>
      </c>
      <c r="T113" s="20">
        <f>IFERROR(Ohj.lask.[[#This Row],[Painotetut pisteet 4]]/Ohj.lask.[[#Totals],[Painotetut pisteet 4]],0)</f>
        <v>2.1310959023531723E-2</v>
      </c>
      <c r="U113" s="23">
        <f>ROUND(IFERROR('1.1 Jakotaulu'!M$16*Ohj.lask.[[#This Row],[%-osuus 4]],0),0)</f>
        <v>244531</v>
      </c>
      <c r="V113" s="81">
        <f>IFERROR(ROUND(VLOOKUP($A113,'2.5 Päättäneet palaute'!$A:$AC,COLUMN('2.5 Päättäneet palaute'!AB:AB),FALSE),1),0)</f>
        <v>203221.6</v>
      </c>
      <c r="W113" s="20">
        <f>IFERROR(Ohj.lask.[[#This Row],[Painotetut pisteet 5]]/Ohj.lask.[[#Totals],[Painotetut pisteet 5]],0)</f>
        <v>2.3571699855773235E-2</v>
      </c>
      <c r="X113" s="17">
        <f>ROUND(IFERROR('1.1 Jakotaulu'!M$17*Ohj.lask.[[#This Row],[%-osuus 5]],0),0)</f>
        <v>811416</v>
      </c>
      <c r="Y113" s="19">
        <f>IFERROR(Ohj.lask.[[#This Row],[Jaettava € 6]]/Ohj.lask.[[#Totals],[Jaettava € 6]],"")</f>
        <v>1.9086115367997331E-2</v>
      </c>
      <c r="Z113" s="23">
        <f>IFERROR(Ohj.lask.[[#This Row],[Jaettava € 1]]+Ohj.lask.[[#This Row],[Jaettava € 2]]+Ohj.lask.[[#This Row],[Jaettava € 3]]+Ohj.lask.[[#This Row],[Jaettava € 4]]+Ohj.lask.[[#This Row],[Jaettava € 5]],"")</f>
        <v>34550526</v>
      </c>
      <c r="AA113" s="17">
        <v>300000</v>
      </c>
      <c r="AB113" s="17">
        <v>0</v>
      </c>
      <c r="AC113" s="18">
        <v>0</v>
      </c>
      <c r="AD113" s="17">
        <v>0</v>
      </c>
      <c r="AE113" s="18">
        <v>0</v>
      </c>
      <c r="AF113" s="17">
        <v>0</v>
      </c>
      <c r="AG113" s="18">
        <v>500000</v>
      </c>
      <c r="AH113" s="17">
        <v>0</v>
      </c>
      <c r="AI113" s="18">
        <v>0</v>
      </c>
      <c r="AJ113" s="17">
        <v>80000</v>
      </c>
      <c r="AK113" s="18">
        <v>0</v>
      </c>
      <c r="AL113" s="17">
        <v>0</v>
      </c>
      <c r="AM113" s="18">
        <v>176000</v>
      </c>
      <c r="AN113" s="23">
        <v>90000</v>
      </c>
      <c r="AO113" s="17">
        <v>0</v>
      </c>
      <c r="AP113" s="17">
        <v>0</v>
      </c>
      <c r="AQ113" s="18">
        <f>IFERROR(VLOOKUP(Ohj.lask.[[#This Row],[Y-tunnus]],#REF!,COLUMN(#REF!),FALSE),0)</f>
        <v>0</v>
      </c>
      <c r="AR113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170000</v>
      </c>
      <c r="AS113" s="17">
        <f>Ohj.lask.[[#This Row],[Jaettava € 1]]+Ohj.lask.[[#This Row],[Päätös, € 9]]</f>
        <v>23976612</v>
      </c>
      <c r="AT113" s="113">
        <f>Ohj.lask.[[#This Row],[Jaettava € 2]]</f>
        <v>7308846</v>
      </c>
      <c r="AU113" s="17">
        <f>Ohj.lask.[[#This Row],[Jaettava € 3]]+Ohj.lask.[[#This Row],[Jaettava € 4]]+Ohj.lask.[[#This Row],[Jaettava € 5]]</f>
        <v>3435068</v>
      </c>
      <c r="AV113" s="42">
        <f>Ohj.lask.[[#This Row],[Jaettava € 6]]+Ohj.lask.[[#This Row],[Päätös, € 9]]</f>
        <v>34720526</v>
      </c>
      <c r="AW113" s="42">
        <v>0</v>
      </c>
      <c r="AX113" s="23">
        <f>Ohj.lask.[[#This Row],[Perus-, suoritus- ja vaikuttavuusrahoitus yhteensä, €]]+Ohj.lask.[[#This Row],[Alv-korvaus, €]]</f>
        <v>34720526</v>
      </c>
    </row>
    <row r="114" spans="1:50" ht="12.75" x14ac:dyDescent="0.2">
      <c r="A114" s="134" t="s">
        <v>270</v>
      </c>
      <c r="B114" s="14" t="s">
        <v>112</v>
      </c>
      <c r="C114" s="107" t="s">
        <v>265</v>
      </c>
      <c r="D114" s="107" t="s">
        <v>391</v>
      </c>
      <c r="E114" s="107" t="s">
        <v>438</v>
      </c>
      <c r="F114" s="116">
        <v>1814</v>
      </c>
      <c r="G114" s="124">
        <f>Ohj.lask.[[#This Row],[Tavoitteelliset opiskelija-vuodet]]-Ohj.lask.[[#This Row],[Järjestämisluvan opisk.vuosien vähimmäismäärä]]</f>
        <v>521</v>
      </c>
      <c r="H114" s="41">
        <v>2335</v>
      </c>
      <c r="I114" s="15">
        <f>IFERROR(VLOOKUP($A114,'2.1 Toteut. op.vuodet'!$A:$T,COLUMN('2.1 Toteut. op.vuodet'!T:T),FALSE),0)</f>
        <v>1.0312338563200978</v>
      </c>
      <c r="J114" s="81">
        <f t="shared" si="3"/>
        <v>2407.9</v>
      </c>
      <c r="K114" s="16">
        <f>IFERROR(Ohj.lask.[[#This Row],[Painotetut opiskelija-vuodet]]/Ohj.lask.[[#Totals],[Painotetut opiskelija-vuodet]],0)</f>
        <v>1.1758977825006648E-2</v>
      </c>
      <c r="L114" s="17">
        <f>ROUND(IFERROR('1.1 Jakotaulu'!L$11*Ohj.lask.[[#This Row],[%-osuus 1]],0),0)</f>
        <v>14810092</v>
      </c>
      <c r="M114" s="186">
        <f>IFERROR(ROUND(VLOOKUP($A114,'2.2 Tutk. ja osien pain. pist.'!$A:$Q,COLUMN('2.2 Tutk. ja osien pain. pist.'!P:P),FALSE),1),0)</f>
        <v>194377.3</v>
      </c>
      <c r="N114" s="16">
        <f>IFERROR(Ohj.lask.[[#This Row],[Painotetut pisteet 2]]/Ohj.lask.[[#Totals],[Painotetut pisteet 2]],0)</f>
        <v>1.2478256634299993E-2</v>
      </c>
      <c r="O114" s="23">
        <f>ROUND(IFERROR('1.1 Jakotaulu'!K$12*Ohj.lask.[[#This Row],[%-osuus 2]],0),0)</f>
        <v>4581791</v>
      </c>
      <c r="P114" s="187">
        <f>IFERROR(ROUND(VLOOKUP($A114,'2.3 Työll. ja jatko-opisk.'!$A:$K,COLUMN('2.3 Työll. ja jatko-opisk.'!I:I),FALSE),1),0)</f>
        <v>2213.9</v>
      </c>
      <c r="Q114" s="20">
        <f>IFERROR(Ohj.lask.[[#This Row],[Painotetut pisteet 3]]/Ohj.lask.[[#Totals],[Painotetut pisteet 3]],0)</f>
        <v>1.1123845547421934E-2</v>
      </c>
      <c r="R114" s="17">
        <f>ROUND(IFERROR('1.1 Jakotaulu'!L$14*Ohj.lask.[[#This Row],[%-osuus 3]],0),0)</f>
        <v>1531678</v>
      </c>
      <c r="S114" s="186">
        <f>IFERROR(ROUND(VLOOKUP($A114,'2.4 Aloittaneet palaute'!$A:$K,COLUMN('2.4 Aloittaneet palaute'!J:J),FALSE),1),0)</f>
        <v>31863.9</v>
      </c>
      <c r="T114" s="20">
        <f>IFERROR(Ohj.lask.[[#This Row],[Painotetut pisteet 4]]/Ohj.lask.[[#Totals],[Painotetut pisteet 4]],0)</f>
        <v>1.9357743015191779E-2</v>
      </c>
      <c r="U114" s="23">
        <f>ROUND(IFERROR('1.1 Jakotaulu'!M$16*Ohj.lask.[[#This Row],[%-osuus 4]],0),0)</f>
        <v>222119</v>
      </c>
      <c r="V114" s="81">
        <f>IFERROR(ROUND(VLOOKUP($A114,'2.5 Päättäneet palaute'!$A:$AC,COLUMN('2.5 Päättäneet palaute'!AB:AB),FALSE),1),0)</f>
        <v>156241.4</v>
      </c>
      <c r="W114" s="20">
        <f>IFERROR(Ohj.lask.[[#This Row],[Painotetut pisteet 5]]/Ohj.lask.[[#Totals],[Painotetut pisteet 5]],0)</f>
        <v>1.8122460338102879E-2</v>
      </c>
      <c r="X114" s="17">
        <f>ROUND(IFERROR('1.1 Jakotaulu'!M$17*Ohj.lask.[[#This Row],[%-osuus 5]],0),0)</f>
        <v>623835</v>
      </c>
      <c r="Y114" s="19">
        <f>IFERROR(Ohj.lask.[[#This Row],[Jaettava € 6]]/Ohj.lask.[[#Totals],[Jaettava € 6]],"")</f>
        <v>1.2025735144968514E-2</v>
      </c>
      <c r="Z114" s="23">
        <f>IFERROR(Ohj.lask.[[#This Row],[Jaettava € 1]]+Ohj.lask.[[#This Row],[Jaettava € 2]]+Ohj.lask.[[#This Row],[Jaettava € 3]]+Ohj.lask.[[#This Row],[Jaettava € 4]]+Ohj.lask.[[#This Row],[Jaettava € 5]],"")</f>
        <v>21769515</v>
      </c>
      <c r="AA114" s="17">
        <v>0</v>
      </c>
      <c r="AB114" s="17">
        <v>0</v>
      </c>
      <c r="AC114" s="18">
        <v>0</v>
      </c>
      <c r="AD114" s="17">
        <v>0</v>
      </c>
      <c r="AE114" s="18">
        <v>0</v>
      </c>
      <c r="AF114" s="17">
        <v>0</v>
      </c>
      <c r="AG114" s="18">
        <v>0</v>
      </c>
      <c r="AH114" s="17">
        <v>0</v>
      </c>
      <c r="AI114" s="18">
        <v>0</v>
      </c>
      <c r="AJ114" s="17">
        <v>0</v>
      </c>
      <c r="AK114" s="18">
        <v>0</v>
      </c>
      <c r="AL114" s="17">
        <v>0</v>
      </c>
      <c r="AM114" s="18">
        <v>150000</v>
      </c>
      <c r="AN114" s="23">
        <v>80000</v>
      </c>
      <c r="AO114" s="17">
        <v>0</v>
      </c>
      <c r="AP114" s="17">
        <v>0</v>
      </c>
      <c r="AQ114" s="18">
        <f>IFERROR(VLOOKUP(Ohj.lask.[[#This Row],[Y-tunnus]],#REF!,COLUMN(#REF!),FALSE),0)</f>
        <v>0</v>
      </c>
      <c r="AR114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80000</v>
      </c>
      <c r="AS114" s="17">
        <f>Ohj.lask.[[#This Row],[Jaettava € 1]]+Ohj.lask.[[#This Row],[Päätös, € 9]]</f>
        <v>14890092</v>
      </c>
      <c r="AT114" s="113">
        <f>Ohj.lask.[[#This Row],[Jaettava € 2]]</f>
        <v>4581791</v>
      </c>
      <c r="AU114" s="17">
        <f>Ohj.lask.[[#This Row],[Jaettava € 3]]+Ohj.lask.[[#This Row],[Jaettava € 4]]+Ohj.lask.[[#This Row],[Jaettava € 5]]</f>
        <v>2377632</v>
      </c>
      <c r="AV114" s="42">
        <f>Ohj.lask.[[#This Row],[Jaettava € 6]]+Ohj.lask.[[#This Row],[Päätös, € 9]]</f>
        <v>21849515</v>
      </c>
      <c r="AW114" s="42">
        <v>0</v>
      </c>
      <c r="AX114" s="23">
        <f>Ohj.lask.[[#This Row],[Perus-, suoritus- ja vaikuttavuusrahoitus yhteensä, €]]+Ohj.lask.[[#This Row],[Alv-korvaus, €]]</f>
        <v>21849515</v>
      </c>
    </row>
    <row r="115" spans="1:50" ht="12.75" x14ac:dyDescent="0.2">
      <c r="A115" s="134" t="s">
        <v>269</v>
      </c>
      <c r="B115" s="14" t="s">
        <v>113</v>
      </c>
      <c r="C115" s="14" t="s">
        <v>220</v>
      </c>
      <c r="D115" s="14" t="s">
        <v>391</v>
      </c>
      <c r="E115" s="14" t="s">
        <v>438</v>
      </c>
      <c r="F115" s="117">
        <v>5625</v>
      </c>
      <c r="G115" s="124">
        <f>Ohj.lask.[[#This Row],[Tavoitteelliset opiskelija-vuodet]]-Ohj.lask.[[#This Row],[Järjestämisluvan opisk.vuosien vähimmäismäärä]]</f>
        <v>175</v>
      </c>
      <c r="H115" s="41">
        <v>5800</v>
      </c>
      <c r="I115" s="15">
        <f>IFERROR(VLOOKUP($A115,'2.1 Toteut. op.vuodet'!$A:$T,COLUMN('2.1 Toteut. op.vuodet'!T:T),FALSE),0)</f>
        <v>1.0487086042544607</v>
      </c>
      <c r="J115" s="81">
        <f t="shared" si="3"/>
        <v>6082.5</v>
      </c>
      <c r="K115" s="16">
        <f>IFERROR(Ohj.lask.[[#This Row],[Painotetut opiskelija-vuodet]]/Ohj.lask.[[#Totals],[Painotetut opiskelija-vuodet]],0)</f>
        <v>2.9703884139957195E-2</v>
      </c>
      <c r="L115" s="17">
        <f>ROUND(IFERROR('1.1 Jakotaulu'!L$11*Ohj.lask.[[#This Row],[%-osuus 1]],0),0)</f>
        <v>37411181</v>
      </c>
      <c r="M115" s="186">
        <f>IFERROR(ROUND(VLOOKUP($A115,'2.2 Tutk. ja osien pain. pist.'!$A:$Q,COLUMN('2.2 Tutk. ja osien pain. pist.'!P:P),FALSE),1),0)</f>
        <v>474815</v>
      </c>
      <c r="N115" s="16">
        <f>IFERROR(Ohj.lask.[[#This Row],[Painotetut pisteet 2]]/Ohj.lask.[[#Totals],[Painotetut pisteet 2]],0)</f>
        <v>3.0481251791310775E-2</v>
      </c>
      <c r="O115" s="23">
        <f>ROUND(IFERROR('1.1 Jakotaulu'!K$12*Ohj.lask.[[#This Row],[%-osuus 2]],0),0)</f>
        <v>11192167</v>
      </c>
      <c r="P115" s="187">
        <f>IFERROR(ROUND(VLOOKUP($A115,'2.3 Työll. ja jatko-opisk.'!$A:$K,COLUMN('2.3 Työll. ja jatko-opisk.'!I:I),FALSE),1),0)</f>
        <v>6879.4</v>
      </c>
      <c r="Q115" s="16">
        <f>IFERROR(Ohj.lask.[[#This Row],[Painotetut pisteet 3]]/Ohj.lask.[[#Totals],[Painotetut pisteet 3]],0)</f>
        <v>3.4565871565533424E-2</v>
      </c>
      <c r="R115" s="17">
        <f>ROUND(IFERROR('1.1 Jakotaulu'!L$14*Ohj.lask.[[#This Row],[%-osuus 3]],0),0)</f>
        <v>4759487</v>
      </c>
      <c r="S115" s="186">
        <f>IFERROR(ROUND(VLOOKUP($A115,'2.4 Aloittaneet palaute'!$A:$K,COLUMN('2.4 Aloittaneet palaute'!J:J),FALSE),1),0)</f>
        <v>49924.800000000003</v>
      </c>
      <c r="T115" s="20">
        <f>IFERROR(Ohj.lask.[[#This Row],[Painotetut pisteet 4]]/Ohj.lask.[[#Totals],[Painotetut pisteet 4]],0)</f>
        <v>3.0329979961173821E-2</v>
      </c>
      <c r="U115" s="23">
        <f>ROUND(IFERROR('1.1 Jakotaulu'!M$16*Ohj.lask.[[#This Row],[%-osuus 4]],0),0)</f>
        <v>348019</v>
      </c>
      <c r="V115" s="81">
        <f>IFERROR(ROUND(VLOOKUP($A115,'2.5 Päättäneet palaute'!$A:$AC,COLUMN('2.5 Päättäneet palaute'!AB:AB),FALSE),1),0)</f>
        <v>310641.8</v>
      </c>
      <c r="W115" s="20">
        <f>IFERROR(Ohj.lask.[[#This Row],[Painotetut pisteet 5]]/Ohj.lask.[[#Totals],[Painotetut pisteet 5]],0)</f>
        <v>3.603138284639594E-2</v>
      </c>
      <c r="X115" s="17">
        <f>ROUND(IFERROR('1.1 Jakotaulu'!M$17*Ohj.lask.[[#This Row],[%-osuus 5]],0),0)</f>
        <v>1240320</v>
      </c>
      <c r="Y115" s="19">
        <f>IFERROR(Ohj.lask.[[#This Row],[Jaettava € 6]]/Ohj.lask.[[#Totals],[Jaettava € 6]],"")</f>
        <v>3.0355672344059115E-2</v>
      </c>
      <c r="Z115" s="23">
        <f>IFERROR(Ohj.lask.[[#This Row],[Jaettava € 1]]+Ohj.lask.[[#This Row],[Jaettava € 2]]+Ohj.lask.[[#This Row],[Jaettava € 3]]+Ohj.lask.[[#This Row],[Jaettava € 4]]+Ohj.lask.[[#This Row],[Jaettava € 5]],"")</f>
        <v>54951174</v>
      </c>
      <c r="AA115" s="17">
        <v>340808</v>
      </c>
      <c r="AB115" s="17">
        <v>0</v>
      </c>
      <c r="AC115" s="18">
        <v>1100000</v>
      </c>
      <c r="AD115" s="17">
        <v>0</v>
      </c>
      <c r="AE115" s="18">
        <v>2000000</v>
      </c>
      <c r="AF115" s="17">
        <v>0</v>
      </c>
      <c r="AG115" s="18">
        <v>309000</v>
      </c>
      <c r="AH115" s="17">
        <v>0</v>
      </c>
      <c r="AI115" s="18">
        <v>0</v>
      </c>
      <c r="AJ115" s="17">
        <v>80000</v>
      </c>
      <c r="AK115" s="18">
        <v>0</v>
      </c>
      <c r="AL115" s="17">
        <v>0</v>
      </c>
      <c r="AM115" s="18">
        <v>0</v>
      </c>
      <c r="AN115" s="23">
        <v>0</v>
      </c>
      <c r="AO115" s="17">
        <v>110000</v>
      </c>
      <c r="AP115" s="17">
        <v>42000</v>
      </c>
      <c r="AQ115" s="18">
        <f>IFERROR(VLOOKUP(Ohj.lask.[[#This Row],[Y-tunnus]],#REF!,COLUMN(#REF!),FALSE),0)</f>
        <v>0</v>
      </c>
      <c r="AR115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122000</v>
      </c>
      <c r="AS115" s="17">
        <f>Ohj.lask.[[#This Row],[Jaettava € 1]]+Ohj.lask.[[#This Row],[Päätös, € 9]]</f>
        <v>37533181</v>
      </c>
      <c r="AT115" s="113">
        <f>Ohj.lask.[[#This Row],[Jaettava € 2]]</f>
        <v>11192167</v>
      </c>
      <c r="AU115" s="17">
        <f>Ohj.lask.[[#This Row],[Jaettava € 3]]+Ohj.lask.[[#This Row],[Jaettava € 4]]+Ohj.lask.[[#This Row],[Jaettava € 5]]</f>
        <v>6347826</v>
      </c>
      <c r="AV115" s="42">
        <f>Ohj.lask.[[#This Row],[Jaettava € 6]]+Ohj.lask.[[#This Row],[Päätös, € 9]]</f>
        <v>55073174</v>
      </c>
      <c r="AW115" s="42">
        <v>0</v>
      </c>
      <c r="AX115" s="23">
        <f>Ohj.lask.[[#This Row],[Perus-, suoritus- ja vaikuttavuusrahoitus yhteensä, €]]+Ohj.lask.[[#This Row],[Alv-korvaus, €]]</f>
        <v>55073174</v>
      </c>
    </row>
    <row r="116" spans="1:50" ht="12.75" x14ac:dyDescent="0.2">
      <c r="A116" s="134" t="s">
        <v>268</v>
      </c>
      <c r="B116" s="14" t="s">
        <v>114</v>
      </c>
      <c r="C116" s="14" t="s">
        <v>249</v>
      </c>
      <c r="D116" s="14" t="s">
        <v>391</v>
      </c>
      <c r="E116" s="14" t="s">
        <v>438</v>
      </c>
      <c r="F116" s="117">
        <v>4109</v>
      </c>
      <c r="G116" s="124">
        <f>Ohj.lask.[[#This Row],[Tavoitteelliset opiskelija-vuodet]]-Ohj.lask.[[#This Row],[Järjestämisluvan opisk.vuosien vähimmäismäärä]]</f>
        <v>621</v>
      </c>
      <c r="H116" s="41">
        <v>4730</v>
      </c>
      <c r="I116" s="15">
        <f>IFERROR(VLOOKUP($A116,'2.1 Toteut. op.vuodet'!$A:$T,COLUMN('2.1 Toteut. op.vuodet'!T:T),FALSE),0)</f>
        <v>1.0897738314639993</v>
      </c>
      <c r="J116" s="81">
        <f t="shared" si="3"/>
        <v>5154.6000000000004</v>
      </c>
      <c r="K116" s="16">
        <f>IFERROR(Ohj.lask.[[#This Row],[Painotetut opiskelija-vuodet]]/Ohj.lask.[[#Totals],[Painotetut opiskelija-vuodet]],0)</f>
        <v>2.5172485193230312E-2</v>
      </c>
      <c r="L116" s="17">
        <f>ROUND(IFERROR('1.1 Jakotaulu'!L$11*Ohj.lask.[[#This Row],[%-osuus 1]],0),0)</f>
        <v>31704015</v>
      </c>
      <c r="M116" s="186">
        <f>IFERROR(ROUND(VLOOKUP($A116,'2.2 Tutk. ja osien pain. pist.'!$A:$Q,COLUMN('2.2 Tutk. ja osien pain. pist.'!P:P),FALSE),1),0)</f>
        <v>414682.2</v>
      </c>
      <c r="N116" s="16">
        <f>IFERROR(Ohj.lask.[[#This Row],[Painotetut pisteet 2]]/Ohj.lask.[[#Totals],[Painotetut pisteet 2]],0)</f>
        <v>2.6620963009961127E-2</v>
      </c>
      <c r="O116" s="23">
        <f>ROUND(IFERROR('1.1 Jakotaulu'!K$12*Ohj.lask.[[#This Row],[%-osuus 2]],0),0)</f>
        <v>9774738</v>
      </c>
      <c r="P116" s="187">
        <f>IFERROR(ROUND(VLOOKUP($A116,'2.3 Työll. ja jatko-opisk.'!$A:$K,COLUMN('2.3 Työll. ja jatko-opisk.'!I:I),FALSE),1),0)</f>
        <v>5482</v>
      </c>
      <c r="Q116" s="16">
        <f>IFERROR(Ohj.lask.[[#This Row],[Painotetut pisteet 3]]/Ohj.lask.[[#Totals],[Painotetut pisteet 3]],0)</f>
        <v>2.7544568991809494E-2</v>
      </c>
      <c r="R116" s="17">
        <f>ROUND(IFERROR('1.1 Jakotaulu'!L$14*Ohj.lask.[[#This Row],[%-osuus 3]],0),0)</f>
        <v>3792701</v>
      </c>
      <c r="S116" s="186">
        <f>IFERROR(ROUND(VLOOKUP($A116,'2.4 Aloittaneet palaute'!$A:$K,COLUMN('2.4 Aloittaneet palaute'!J:J),FALSE),1),0)</f>
        <v>51241.4</v>
      </c>
      <c r="T116" s="20">
        <f>IFERROR(Ohj.lask.[[#This Row],[Painotetut pisteet 4]]/Ohj.lask.[[#Totals],[Painotetut pisteet 4]],0)</f>
        <v>3.1129831970934132E-2</v>
      </c>
      <c r="U116" s="23">
        <f>ROUND(IFERROR('1.1 Jakotaulu'!M$16*Ohj.lask.[[#This Row],[%-osuus 4]],0),0)</f>
        <v>357197</v>
      </c>
      <c r="V116" s="81">
        <f>IFERROR(ROUND(VLOOKUP($A116,'2.5 Päättäneet palaute'!$A:$AC,COLUMN('2.5 Päättäneet palaute'!AB:AB),FALSE),1),0)</f>
        <v>280076.2</v>
      </c>
      <c r="W116" s="20">
        <f>IFERROR(Ohj.lask.[[#This Row],[Painotetut pisteet 5]]/Ohj.lask.[[#Totals],[Painotetut pisteet 5]],0)</f>
        <v>3.2486074920901692E-2</v>
      </c>
      <c r="X116" s="17">
        <f>ROUND(IFERROR('1.1 Jakotaulu'!M$17*Ohj.lask.[[#This Row],[%-osuus 5]],0),0)</f>
        <v>1118278</v>
      </c>
      <c r="Y116" s="19">
        <f>IFERROR(Ohj.lask.[[#This Row],[Jaettava € 6]]/Ohj.lask.[[#Totals],[Jaettava € 6]],"")</f>
        <v>2.5823551282361957E-2</v>
      </c>
      <c r="Z116" s="23">
        <f>IFERROR(Ohj.lask.[[#This Row],[Jaettava € 1]]+Ohj.lask.[[#This Row],[Jaettava € 2]]+Ohj.lask.[[#This Row],[Jaettava € 3]]+Ohj.lask.[[#This Row],[Jaettava € 4]]+Ohj.lask.[[#This Row],[Jaettava € 5]],"")</f>
        <v>46746929</v>
      </c>
      <c r="AA116" s="17">
        <v>0</v>
      </c>
      <c r="AB116" s="17">
        <v>0</v>
      </c>
      <c r="AC116" s="18">
        <v>0</v>
      </c>
      <c r="AD116" s="17">
        <v>0</v>
      </c>
      <c r="AE116" s="18">
        <v>0</v>
      </c>
      <c r="AF116" s="17">
        <v>0</v>
      </c>
      <c r="AG116" s="18">
        <v>980000</v>
      </c>
      <c r="AH116" s="17">
        <v>0</v>
      </c>
      <c r="AI116" s="18">
        <v>0</v>
      </c>
      <c r="AJ116" s="17">
        <v>0</v>
      </c>
      <c r="AK116" s="18">
        <v>0</v>
      </c>
      <c r="AL116" s="17">
        <v>0</v>
      </c>
      <c r="AM116" s="18">
        <v>120000</v>
      </c>
      <c r="AN116" s="23">
        <v>100000</v>
      </c>
      <c r="AO116" s="17">
        <v>30000</v>
      </c>
      <c r="AP116" s="17">
        <v>12000</v>
      </c>
      <c r="AQ116" s="18">
        <f>IFERROR(VLOOKUP(Ohj.lask.[[#This Row],[Y-tunnus]],#REF!,COLUMN(#REF!),FALSE),0)</f>
        <v>0</v>
      </c>
      <c r="AR116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112000</v>
      </c>
      <c r="AS116" s="17">
        <f>Ohj.lask.[[#This Row],[Jaettava € 1]]+Ohj.lask.[[#This Row],[Päätös, € 9]]</f>
        <v>31816015</v>
      </c>
      <c r="AT116" s="113">
        <f>Ohj.lask.[[#This Row],[Jaettava € 2]]</f>
        <v>9774738</v>
      </c>
      <c r="AU116" s="17">
        <f>Ohj.lask.[[#This Row],[Jaettava € 3]]+Ohj.lask.[[#This Row],[Jaettava € 4]]+Ohj.lask.[[#This Row],[Jaettava € 5]]</f>
        <v>5268176</v>
      </c>
      <c r="AV116" s="42">
        <f>Ohj.lask.[[#This Row],[Jaettava € 6]]+Ohj.lask.[[#This Row],[Päätös, € 9]]</f>
        <v>46858929</v>
      </c>
      <c r="AW116" s="42">
        <v>0</v>
      </c>
      <c r="AX116" s="23">
        <f>Ohj.lask.[[#This Row],[Perus-, suoritus- ja vaikuttavuusrahoitus yhteensä, €]]+Ohj.lask.[[#This Row],[Alv-korvaus, €]]</f>
        <v>46858929</v>
      </c>
    </row>
    <row r="117" spans="1:50" ht="12.75" x14ac:dyDescent="0.2">
      <c r="A117" s="134" t="s">
        <v>267</v>
      </c>
      <c r="B117" s="14" t="s">
        <v>115</v>
      </c>
      <c r="C117" s="14" t="s">
        <v>216</v>
      </c>
      <c r="D117" s="14" t="s">
        <v>392</v>
      </c>
      <c r="E117" s="14" t="s">
        <v>438</v>
      </c>
      <c r="F117" s="117">
        <v>1564</v>
      </c>
      <c r="G117" s="124">
        <f>Ohj.lask.[[#This Row],[Tavoitteelliset opiskelija-vuodet]]-Ohj.lask.[[#This Row],[Järjestämisluvan opisk.vuosien vähimmäismäärä]]</f>
        <v>363</v>
      </c>
      <c r="H117" s="41">
        <v>1927</v>
      </c>
      <c r="I117" s="15">
        <f>IFERROR(VLOOKUP($A117,'2.1 Toteut. op.vuodet'!$A:$T,COLUMN('2.1 Toteut. op.vuodet'!T:T),FALSE),0)</f>
        <v>1.0750028428496265</v>
      </c>
      <c r="J117" s="81">
        <f t="shared" si="3"/>
        <v>2071.5</v>
      </c>
      <c r="K117" s="16">
        <f>IFERROR(Ohj.lask.[[#This Row],[Painotetut opiskelija-vuodet]]/Ohj.lask.[[#Totals],[Painotetut opiskelija-vuodet]],0)</f>
        <v>1.0116168679970627E-2</v>
      </c>
      <c r="L117" s="17">
        <f>ROUND(IFERROR('1.1 Jakotaulu'!L$11*Ohj.lask.[[#This Row],[%-osuus 1]],0),0)</f>
        <v>12741021</v>
      </c>
      <c r="M117" s="186">
        <f>IFERROR(ROUND(VLOOKUP($A117,'2.2 Tutk. ja osien pain. pist.'!$A:$Q,COLUMN('2.2 Tutk. ja osien pain. pist.'!P:P),FALSE),1),0)</f>
        <v>171022.2</v>
      </c>
      <c r="N117" s="16">
        <f>IFERROR(Ohj.lask.[[#This Row],[Painotetut pisteet 2]]/Ohj.lask.[[#Totals],[Painotetut pisteet 2]],0)</f>
        <v>1.0978951254918042E-2</v>
      </c>
      <c r="O117" s="23">
        <f>ROUND(IFERROR('1.1 Jakotaulu'!K$12*Ohj.lask.[[#This Row],[%-osuus 2]],0),0)</f>
        <v>4031273</v>
      </c>
      <c r="P117" s="187">
        <f>IFERROR(ROUND(VLOOKUP($A117,'2.3 Työll. ja jatko-opisk.'!$A:$K,COLUMN('2.3 Työll. ja jatko-opisk.'!I:I),FALSE),1),0)</f>
        <v>1755.8</v>
      </c>
      <c r="Q117" s="16">
        <f>IFERROR(Ohj.lask.[[#This Row],[Painotetut pisteet 3]]/Ohj.lask.[[#Totals],[Painotetut pisteet 3]],0)</f>
        <v>8.8221003713643033E-3</v>
      </c>
      <c r="R117" s="17">
        <f>ROUND(IFERROR('1.1 Jakotaulu'!L$14*Ohj.lask.[[#This Row],[%-osuus 3]],0),0)</f>
        <v>1214744</v>
      </c>
      <c r="S117" s="186">
        <f>IFERROR(ROUND(VLOOKUP($A117,'2.4 Aloittaneet palaute'!$A:$K,COLUMN('2.4 Aloittaneet palaute'!J:J),FALSE),1),0)</f>
        <v>15768.3</v>
      </c>
      <c r="T117" s="20">
        <f>IFERROR(Ohj.lask.[[#This Row],[Painotetut pisteet 4]]/Ohj.lask.[[#Totals],[Painotetut pisteet 4]],0)</f>
        <v>9.5794519561776346E-3</v>
      </c>
      <c r="U117" s="23">
        <f>ROUND(IFERROR('1.1 Jakotaulu'!M$16*Ohj.lask.[[#This Row],[%-osuus 4]],0),0)</f>
        <v>109919</v>
      </c>
      <c r="V117" s="81">
        <f>IFERROR(ROUND(VLOOKUP($A117,'2.5 Päättäneet palaute'!$A:$AC,COLUMN('2.5 Päättäneet palaute'!AB:AB),FALSE),1),0)</f>
        <v>109298.2</v>
      </c>
      <c r="W117" s="20">
        <f>IFERROR(Ohj.lask.[[#This Row],[Painotetut pisteet 5]]/Ohj.lask.[[#Totals],[Painotetut pisteet 5]],0)</f>
        <v>1.2677512455252168E-2</v>
      </c>
      <c r="X117" s="17">
        <f>ROUND(IFERROR('1.1 Jakotaulu'!M$17*Ohj.lask.[[#This Row],[%-osuus 5]],0),0)</f>
        <v>436402</v>
      </c>
      <c r="Y117" s="19">
        <f>IFERROR(Ohj.lask.[[#This Row],[Jaettava € 6]]/Ohj.lask.[[#Totals],[Jaettava € 6]],"")</f>
        <v>1.0238044654675059E-2</v>
      </c>
      <c r="Z117" s="23">
        <f>IFERROR(Ohj.lask.[[#This Row],[Jaettava € 1]]+Ohj.lask.[[#This Row],[Jaettava € 2]]+Ohj.lask.[[#This Row],[Jaettava € 3]]+Ohj.lask.[[#This Row],[Jaettava € 4]]+Ohj.lask.[[#This Row],[Jaettava € 5]],"")</f>
        <v>18533359</v>
      </c>
      <c r="AA117" s="17">
        <v>0</v>
      </c>
      <c r="AB117" s="17">
        <v>0</v>
      </c>
      <c r="AC117" s="18">
        <v>0</v>
      </c>
      <c r="AD117" s="17">
        <v>0</v>
      </c>
      <c r="AE117" s="18">
        <v>0</v>
      </c>
      <c r="AF117" s="17">
        <v>0</v>
      </c>
      <c r="AG117" s="18">
        <v>0</v>
      </c>
      <c r="AH117" s="17">
        <v>0</v>
      </c>
      <c r="AI117" s="18">
        <v>0</v>
      </c>
      <c r="AJ117" s="17">
        <v>0</v>
      </c>
      <c r="AK117" s="18">
        <v>0</v>
      </c>
      <c r="AL117" s="17">
        <v>0</v>
      </c>
      <c r="AM117" s="18">
        <v>0</v>
      </c>
      <c r="AN117" s="23">
        <v>0</v>
      </c>
      <c r="AO117" s="17">
        <v>0</v>
      </c>
      <c r="AP117" s="17">
        <v>0</v>
      </c>
      <c r="AQ117" s="18">
        <f>IFERROR(VLOOKUP(Ohj.lask.[[#This Row],[Y-tunnus]],#REF!,COLUMN(#REF!),FALSE),0)</f>
        <v>0</v>
      </c>
      <c r="AR117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17" s="17">
        <f>Ohj.lask.[[#This Row],[Jaettava € 1]]+Ohj.lask.[[#This Row],[Päätös, € 9]]</f>
        <v>12741021</v>
      </c>
      <c r="AT117" s="113">
        <f>Ohj.lask.[[#This Row],[Jaettava € 2]]</f>
        <v>4031273</v>
      </c>
      <c r="AU117" s="17">
        <f>Ohj.lask.[[#This Row],[Jaettava € 3]]+Ohj.lask.[[#This Row],[Jaettava € 4]]+Ohj.lask.[[#This Row],[Jaettava € 5]]</f>
        <v>1761065</v>
      </c>
      <c r="AV117" s="42">
        <f>Ohj.lask.[[#This Row],[Jaettava € 6]]+Ohj.lask.[[#This Row],[Päätös, € 9]]</f>
        <v>18533359</v>
      </c>
      <c r="AW117" s="42">
        <v>893500</v>
      </c>
      <c r="AX117" s="23">
        <f>Ohj.lask.[[#This Row],[Perus-, suoritus- ja vaikuttavuusrahoitus yhteensä, €]]+Ohj.lask.[[#This Row],[Alv-korvaus, €]]</f>
        <v>19426859</v>
      </c>
    </row>
    <row r="118" spans="1:50" ht="12.75" x14ac:dyDescent="0.2">
      <c r="A118" s="134" t="s">
        <v>266</v>
      </c>
      <c r="B118" s="14" t="s">
        <v>176</v>
      </c>
      <c r="C118" s="14" t="s">
        <v>265</v>
      </c>
      <c r="D118" s="14" t="s">
        <v>392</v>
      </c>
      <c r="E118" s="14" t="s">
        <v>438</v>
      </c>
      <c r="F118" s="117">
        <v>49</v>
      </c>
      <c r="G118" s="124">
        <f>Ohj.lask.[[#This Row],[Tavoitteelliset opiskelija-vuodet]]-Ohj.lask.[[#This Row],[Järjestämisluvan opisk.vuosien vähimmäismäärä]]</f>
        <v>19</v>
      </c>
      <c r="H118" s="41">
        <v>68</v>
      </c>
      <c r="I118" s="15">
        <f>IFERROR(VLOOKUP($A118,'2.1 Toteut. op.vuodet'!$A:$T,COLUMN('2.1 Toteut. op.vuodet'!T:T),FALSE),0)</f>
        <v>0.92436189113731426</v>
      </c>
      <c r="J118" s="81">
        <f t="shared" si="3"/>
        <v>62.9</v>
      </c>
      <c r="K118" s="16">
        <f>IFERROR(Ohj.lask.[[#This Row],[Painotetut opiskelija-vuodet]]/Ohj.lask.[[#Totals],[Painotetut opiskelija-vuodet]],0)</f>
        <v>3.0717210232688989E-4</v>
      </c>
      <c r="L118" s="17">
        <f>ROUND(IFERROR('1.1 Jakotaulu'!L$11*Ohj.lask.[[#This Row],[%-osuus 1]],0),0)</f>
        <v>386874</v>
      </c>
      <c r="M118" s="186">
        <f>IFERROR(ROUND(VLOOKUP($A118,'2.2 Tutk. ja osien pain. pist.'!$A:$Q,COLUMN('2.2 Tutk. ja osien pain. pist.'!P:P),FALSE),1),0)</f>
        <v>0</v>
      </c>
      <c r="N118" s="16">
        <f>IFERROR(Ohj.lask.[[#This Row],[Painotetut pisteet 2]]/Ohj.lask.[[#Totals],[Painotetut pisteet 2]],0)</f>
        <v>0</v>
      </c>
      <c r="O118" s="23">
        <f>ROUND(IFERROR('1.1 Jakotaulu'!K$12*Ohj.lask.[[#This Row],[%-osuus 2]],0),0)</f>
        <v>0</v>
      </c>
      <c r="P118" s="187">
        <f>IFERROR(ROUND(VLOOKUP($A118,'2.3 Työll. ja jatko-opisk.'!$A:$K,COLUMN('2.3 Työll. ja jatko-opisk.'!I:I),FALSE),1),0)</f>
        <v>0</v>
      </c>
      <c r="Q118" s="16">
        <f>IFERROR(Ohj.lask.[[#This Row],[Painotetut pisteet 3]]/Ohj.lask.[[#Totals],[Painotetut pisteet 3]],0)</f>
        <v>0</v>
      </c>
      <c r="R118" s="17">
        <f>ROUND(IFERROR('1.1 Jakotaulu'!L$14*Ohj.lask.[[#This Row],[%-osuus 3]],0),0)</f>
        <v>0</v>
      </c>
      <c r="S118" s="186">
        <f>IFERROR(ROUND(VLOOKUP($A118,'2.4 Aloittaneet palaute'!$A:$K,COLUMN('2.4 Aloittaneet palaute'!J:J),FALSE),1),0)</f>
        <v>0</v>
      </c>
      <c r="T118" s="20">
        <f>IFERROR(Ohj.lask.[[#This Row],[Painotetut pisteet 4]]/Ohj.lask.[[#Totals],[Painotetut pisteet 4]],0)</f>
        <v>0</v>
      </c>
      <c r="U118" s="23">
        <f>ROUND(IFERROR('1.1 Jakotaulu'!M$16*Ohj.lask.[[#This Row],[%-osuus 4]],0),0)</f>
        <v>0</v>
      </c>
      <c r="V118" s="81">
        <f>IFERROR(ROUND(VLOOKUP($A118,'2.5 Päättäneet palaute'!$A:$AC,COLUMN('2.5 Päättäneet palaute'!AB:AB),FALSE),1),0)</f>
        <v>0</v>
      </c>
      <c r="W118" s="20">
        <f>IFERROR(Ohj.lask.[[#This Row],[Painotetut pisteet 5]]/Ohj.lask.[[#Totals],[Painotetut pisteet 5]],0)</f>
        <v>0</v>
      </c>
      <c r="X118" s="17">
        <f>ROUND(IFERROR('1.1 Jakotaulu'!M$17*Ohj.lask.[[#This Row],[%-osuus 5]],0),0)</f>
        <v>0</v>
      </c>
      <c r="Y118" s="19">
        <f>IFERROR(Ohj.lask.[[#This Row],[Jaettava € 6]]/Ohj.lask.[[#Totals],[Jaettava € 6]],"")</f>
        <v>2.1371373034606187E-4</v>
      </c>
      <c r="Z118" s="23">
        <f>IFERROR(Ohj.lask.[[#This Row],[Jaettava € 1]]+Ohj.lask.[[#This Row],[Jaettava € 2]]+Ohj.lask.[[#This Row],[Jaettava € 3]]+Ohj.lask.[[#This Row],[Jaettava € 4]]+Ohj.lask.[[#This Row],[Jaettava € 5]],"")</f>
        <v>386874</v>
      </c>
      <c r="AA118" s="17">
        <v>6780000</v>
      </c>
      <c r="AB118" s="17">
        <v>6400000</v>
      </c>
      <c r="AC118" s="18">
        <v>0</v>
      </c>
      <c r="AD118" s="17">
        <v>0</v>
      </c>
      <c r="AE118" s="18">
        <v>0</v>
      </c>
      <c r="AF118" s="17">
        <v>0</v>
      </c>
      <c r="AG118" s="18">
        <v>0</v>
      </c>
      <c r="AH118" s="17">
        <v>0</v>
      </c>
      <c r="AI118" s="18">
        <v>0</v>
      </c>
      <c r="AJ118" s="17">
        <v>0</v>
      </c>
      <c r="AK118" s="18">
        <v>0</v>
      </c>
      <c r="AL118" s="17">
        <v>0</v>
      </c>
      <c r="AM118" s="18">
        <v>0</v>
      </c>
      <c r="AN118" s="23">
        <v>0</v>
      </c>
      <c r="AO118" s="17">
        <v>0</v>
      </c>
      <c r="AP118" s="17">
        <v>0</v>
      </c>
      <c r="AQ118" s="18">
        <f>IFERROR(VLOOKUP(Ohj.lask.[[#This Row],[Y-tunnus]],#REF!,COLUMN(#REF!),FALSE),0)</f>
        <v>0</v>
      </c>
      <c r="AR118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6400000</v>
      </c>
      <c r="AS118" s="17">
        <f>Ohj.lask.[[#This Row],[Jaettava € 1]]+Ohj.lask.[[#This Row],[Päätös, € 9]]</f>
        <v>6786874</v>
      </c>
      <c r="AT118" s="113">
        <f>Ohj.lask.[[#This Row],[Jaettava € 2]]</f>
        <v>0</v>
      </c>
      <c r="AU118" s="17">
        <f>Ohj.lask.[[#This Row],[Jaettava € 3]]+Ohj.lask.[[#This Row],[Jaettava € 4]]+Ohj.lask.[[#This Row],[Jaettava € 5]]</f>
        <v>0</v>
      </c>
      <c r="AV118" s="42">
        <f>Ohj.lask.[[#This Row],[Jaettava € 6]]+Ohj.lask.[[#This Row],[Päätös, € 9]]</f>
        <v>6786874</v>
      </c>
      <c r="AW118" s="42">
        <v>1116252</v>
      </c>
      <c r="AX118" s="23">
        <f>Ohj.lask.[[#This Row],[Perus-, suoritus- ja vaikuttavuusrahoitus yhteensä, €]]+Ohj.lask.[[#This Row],[Alv-korvaus, €]]</f>
        <v>7903126</v>
      </c>
    </row>
    <row r="119" spans="1:50" ht="12.75" x14ac:dyDescent="0.2">
      <c r="A119" s="134" t="s">
        <v>264</v>
      </c>
      <c r="B119" s="14" t="s">
        <v>116</v>
      </c>
      <c r="C119" s="14" t="s">
        <v>216</v>
      </c>
      <c r="D119" s="14" t="s">
        <v>392</v>
      </c>
      <c r="E119" s="14" t="s">
        <v>438</v>
      </c>
      <c r="F119" s="117">
        <v>27</v>
      </c>
      <c r="G119" s="124">
        <f>Ohj.lask.[[#This Row],[Tavoitteelliset opiskelija-vuodet]]-Ohj.lask.[[#This Row],[Järjestämisluvan opisk.vuosien vähimmäismäärä]]</f>
        <v>0</v>
      </c>
      <c r="H119" s="41">
        <v>27</v>
      </c>
      <c r="I119" s="15">
        <f>IFERROR(VLOOKUP($A119,'2.1 Toteut. op.vuodet'!$A:$T,COLUMN('2.1 Toteut. op.vuodet'!T:T),FALSE),0)</f>
        <v>1.23</v>
      </c>
      <c r="J119" s="81">
        <f t="shared" si="3"/>
        <v>33.200000000000003</v>
      </c>
      <c r="K119" s="16">
        <f>IFERROR(Ohj.lask.[[#This Row],[Painotetut opiskelija-vuodet]]/Ohj.lask.[[#Totals],[Painotetut opiskelija-vuodet]],0)</f>
        <v>1.6213217483708657E-4</v>
      </c>
      <c r="L119" s="17">
        <f>ROUND(IFERROR('1.1 Jakotaulu'!L$11*Ohj.lask.[[#This Row],[%-osuus 1]],0),0)</f>
        <v>204201</v>
      </c>
      <c r="M119" s="186">
        <f>IFERROR(ROUND(VLOOKUP($A119,'2.2 Tutk. ja osien pain. pist.'!$A:$Q,COLUMN('2.2 Tutk. ja osien pain. pist.'!P:P),FALSE),1),0)</f>
        <v>4312.5</v>
      </c>
      <c r="N119" s="16">
        <f>IFERROR(Ohj.lask.[[#This Row],[Painotetut pisteet 2]]/Ohj.lask.[[#Totals],[Painotetut pisteet 2]],0)</f>
        <v>2.7684550477560251E-4</v>
      </c>
      <c r="O119" s="23">
        <f>ROUND(IFERROR('1.1 Jakotaulu'!K$12*Ohj.lask.[[#This Row],[%-osuus 2]],0),0)</f>
        <v>101653</v>
      </c>
      <c r="P119" s="187">
        <f>IFERROR(ROUND(VLOOKUP($A119,'2.3 Työll. ja jatko-opisk.'!$A:$K,COLUMN('2.3 Työll. ja jatko-opisk.'!I:I),FALSE),1),0)</f>
        <v>31.4</v>
      </c>
      <c r="Q119" s="16">
        <f>IFERROR(Ohj.lask.[[#This Row],[Painotetut pisteet 3]]/Ohj.lask.[[#Totals],[Painotetut pisteet 3]],0)</f>
        <v>1.5777078919059067E-4</v>
      </c>
      <c r="R119" s="17">
        <f>ROUND(IFERROR('1.1 Jakotaulu'!L$14*Ohj.lask.[[#This Row],[%-osuus 3]],0),0)</f>
        <v>21724</v>
      </c>
      <c r="S119" s="186">
        <f>IFERROR(ROUND(VLOOKUP($A119,'2.4 Aloittaneet palaute'!$A:$K,COLUMN('2.4 Aloittaneet palaute'!J:J),FALSE),1),0)</f>
        <v>358.7</v>
      </c>
      <c r="T119" s="20">
        <f>IFERROR(Ohj.lask.[[#This Row],[Painotetut pisteet 4]]/Ohj.lask.[[#Totals],[Painotetut pisteet 4]],0)</f>
        <v>2.1791502043219099E-4</v>
      </c>
      <c r="U119" s="23">
        <f>ROUND(IFERROR('1.1 Jakotaulu'!M$16*Ohj.lask.[[#This Row],[%-osuus 4]],0),0)</f>
        <v>2500</v>
      </c>
      <c r="V119" s="81">
        <f>IFERROR(ROUND(VLOOKUP($A119,'2.5 Päättäneet palaute'!$A:$AC,COLUMN('2.5 Päättäneet palaute'!AB:AB),FALSE),1),0)</f>
        <v>754.2</v>
      </c>
      <c r="W119" s="20">
        <f>IFERROR(Ohj.lask.[[#This Row],[Painotetut pisteet 5]]/Ohj.lask.[[#Totals],[Painotetut pisteet 5]],0)</f>
        <v>8.747975624256562E-5</v>
      </c>
      <c r="X119" s="17">
        <f>ROUND(IFERROR('1.1 Jakotaulu'!M$17*Ohj.lask.[[#This Row],[%-osuus 5]],0),0)</f>
        <v>3011</v>
      </c>
      <c r="Y119" s="19">
        <f>IFERROR(Ohj.lask.[[#This Row],[Jaettava € 6]]/Ohj.lask.[[#Totals],[Jaettava € 6]],"")</f>
        <v>1.8400226618289005E-4</v>
      </c>
      <c r="Z119" s="23">
        <f>IFERROR(Ohj.lask.[[#This Row],[Jaettava € 1]]+Ohj.lask.[[#This Row],[Jaettava € 2]]+Ohj.lask.[[#This Row],[Jaettava € 3]]+Ohj.lask.[[#This Row],[Jaettava € 4]]+Ohj.lask.[[#This Row],[Jaettava € 5]],"")</f>
        <v>333089</v>
      </c>
      <c r="AA119" s="17">
        <v>300000</v>
      </c>
      <c r="AB119" s="17">
        <v>270000</v>
      </c>
      <c r="AC119" s="18">
        <v>0</v>
      </c>
      <c r="AD119" s="17">
        <v>0</v>
      </c>
      <c r="AE119" s="18">
        <v>0</v>
      </c>
      <c r="AF119" s="17">
        <v>0</v>
      </c>
      <c r="AG119" s="18">
        <v>0</v>
      </c>
      <c r="AH119" s="17">
        <v>0</v>
      </c>
      <c r="AI119" s="18">
        <v>0</v>
      </c>
      <c r="AJ119" s="17">
        <v>0</v>
      </c>
      <c r="AK119" s="18">
        <v>0</v>
      </c>
      <c r="AL119" s="17">
        <v>0</v>
      </c>
      <c r="AM119" s="18">
        <v>0</v>
      </c>
      <c r="AN119" s="23">
        <v>0</v>
      </c>
      <c r="AO119" s="17">
        <v>0</v>
      </c>
      <c r="AP119" s="17">
        <v>0</v>
      </c>
      <c r="AQ119" s="18">
        <f>IFERROR(VLOOKUP(Ohj.lask.[[#This Row],[Y-tunnus]],#REF!,COLUMN(#REF!),FALSE),0)</f>
        <v>0</v>
      </c>
      <c r="AR119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270000</v>
      </c>
      <c r="AS119" s="17">
        <f>Ohj.lask.[[#This Row],[Jaettava € 1]]+Ohj.lask.[[#This Row],[Päätös, € 9]]</f>
        <v>474201</v>
      </c>
      <c r="AT119" s="113">
        <f>Ohj.lask.[[#This Row],[Jaettava € 2]]</f>
        <v>101653</v>
      </c>
      <c r="AU119" s="17">
        <f>Ohj.lask.[[#This Row],[Jaettava € 3]]+Ohj.lask.[[#This Row],[Jaettava € 4]]+Ohj.lask.[[#This Row],[Jaettava € 5]]</f>
        <v>27235</v>
      </c>
      <c r="AV119" s="42">
        <f>Ohj.lask.[[#This Row],[Jaettava € 6]]+Ohj.lask.[[#This Row],[Päätös, € 9]]</f>
        <v>603089</v>
      </c>
      <c r="AW119" s="42">
        <v>51119</v>
      </c>
      <c r="AX119" s="23">
        <f>Ohj.lask.[[#This Row],[Perus-, suoritus- ja vaikuttavuusrahoitus yhteensä, €]]+Ohj.lask.[[#This Row],[Alv-korvaus, €]]</f>
        <v>654208</v>
      </c>
    </row>
    <row r="120" spans="1:50" ht="12.75" x14ac:dyDescent="0.2">
      <c r="A120" s="134" t="s">
        <v>263</v>
      </c>
      <c r="B120" s="14" t="s">
        <v>148</v>
      </c>
      <c r="C120" s="14" t="s">
        <v>216</v>
      </c>
      <c r="D120" s="14" t="s">
        <v>392</v>
      </c>
      <c r="E120" s="14" t="s">
        <v>438</v>
      </c>
      <c r="F120" s="117">
        <v>20</v>
      </c>
      <c r="G120" s="124">
        <f>Ohj.lask.[[#This Row],[Tavoitteelliset opiskelija-vuodet]]-Ohj.lask.[[#This Row],[Järjestämisluvan opisk.vuosien vähimmäismäärä]]</f>
        <v>1</v>
      </c>
      <c r="H120" s="41">
        <v>21</v>
      </c>
      <c r="I120" s="15">
        <f>IFERROR(VLOOKUP($A120,'2.1 Toteut. op.vuodet'!$A:$T,COLUMN('2.1 Toteut. op.vuodet'!T:T),FALSE),0)</f>
        <v>0.94709999999999916</v>
      </c>
      <c r="J120" s="81">
        <f t="shared" si="3"/>
        <v>19.899999999999999</v>
      </c>
      <c r="K120" s="16">
        <f>IFERROR(Ohj.lask.[[#This Row],[Painotetut opiskelija-vuodet]]/Ohj.lask.[[#Totals],[Painotetut opiskelija-vuodet]],0)</f>
        <v>9.7181634917410304E-5</v>
      </c>
      <c r="L120" s="17">
        <f>ROUND(IFERROR('1.1 Jakotaulu'!L$11*Ohj.lask.[[#This Row],[%-osuus 1]],0),0)</f>
        <v>122397</v>
      </c>
      <c r="M120" s="186">
        <f>IFERROR(ROUND(VLOOKUP($A120,'2.2 Tutk. ja osien pain. pist.'!$A:$Q,COLUMN('2.2 Tutk. ja osien pain. pist.'!P:P),FALSE),1),0)</f>
        <v>1957.1</v>
      </c>
      <c r="N120" s="16">
        <f>IFERROR(Ohj.lask.[[#This Row],[Painotetut pisteet 2]]/Ohj.lask.[[#Totals],[Painotetut pisteet 2]],0)</f>
        <v>1.2563810722233777E-4</v>
      </c>
      <c r="O120" s="23">
        <f>ROUND(IFERROR('1.1 Jakotaulu'!K$12*Ohj.lask.[[#This Row],[%-osuus 2]],0),0)</f>
        <v>46132</v>
      </c>
      <c r="P120" s="187">
        <f>IFERROR(ROUND(VLOOKUP($A120,'2.3 Työll. ja jatko-opisk.'!$A:$K,COLUMN('2.3 Työll. ja jatko-opisk.'!I:I),FALSE),1),0)</f>
        <v>17.600000000000001</v>
      </c>
      <c r="Q120" s="16">
        <f>IFERROR(Ohj.lask.[[#This Row],[Painotetut pisteet 3]]/Ohj.lask.[[#Totals],[Painotetut pisteet 3]],0)</f>
        <v>8.8432034705554019E-5</v>
      </c>
      <c r="R120" s="17">
        <f>ROUND(IFERROR('1.1 Jakotaulu'!L$14*Ohj.lask.[[#This Row],[%-osuus 3]],0),0)</f>
        <v>12176</v>
      </c>
      <c r="S120" s="186">
        <f>IFERROR(ROUND(VLOOKUP($A120,'2.4 Aloittaneet palaute'!$A:$K,COLUMN('2.4 Aloittaneet palaute'!J:J),FALSE),1),0)</f>
        <v>649.4</v>
      </c>
      <c r="T120" s="16">
        <f>IFERROR(Ohj.lask.[[#This Row],[Painotetut pisteet 4]]/Ohj.lask.[[#Totals],[Painotetut pisteet 4]],0)</f>
        <v>3.945191365170472E-4</v>
      </c>
      <c r="U120" s="23">
        <f>ROUND(IFERROR('1.1 Jakotaulu'!M$16*Ohj.lask.[[#This Row],[%-osuus 4]],0),0)</f>
        <v>4527</v>
      </c>
      <c r="V120" s="81">
        <f>IFERROR(ROUND(VLOOKUP($A120,'2.5 Päättäneet palaute'!$A:$AC,COLUMN('2.5 Päättäneet palaute'!AB:AB),FALSE),1),0)</f>
        <v>2796</v>
      </c>
      <c r="W120" s="16">
        <f>IFERROR(Ohj.lask.[[#This Row],[Painotetut pisteet 5]]/Ohj.lask.[[#Totals],[Painotetut pisteet 5]],0)</f>
        <v>3.243084042087158E-4</v>
      </c>
      <c r="X120" s="17">
        <f>ROUND(IFERROR('1.1 Jakotaulu'!M$17*Ohj.lask.[[#This Row],[%-osuus 5]],0),0)</f>
        <v>11164</v>
      </c>
      <c r="Y120" s="19">
        <f>IFERROR(Ohj.lask.[[#This Row],[Jaettava € 6]]/Ohj.lask.[[#Totals],[Jaettava € 6]],"")</f>
        <v>1.0849145144167136E-4</v>
      </c>
      <c r="Z120" s="23">
        <f>IFERROR(Ohj.lask.[[#This Row],[Jaettava € 1]]+Ohj.lask.[[#This Row],[Jaettava € 2]]+Ohj.lask.[[#This Row],[Jaettava € 3]]+Ohj.lask.[[#This Row],[Jaettava € 4]]+Ohj.lask.[[#This Row],[Jaettava € 5]],"")</f>
        <v>196396</v>
      </c>
      <c r="AA120" s="17">
        <v>0</v>
      </c>
      <c r="AB120" s="17">
        <v>0</v>
      </c>
      <c r="AC120" s="18">
        <v>0</v>
      </c>
      <c r="AD120" s="17">
        <v>0</v>
      </c>
      <c r="AE120" s="18">
        <v>0</v>
      </c>
      <c r="AF120" s="17">
        <v>0</v>
      </c>
      <c r="AG120" s="18">
        <v>0</v>
      </c>
      <c r="AH120" s="17">
        <v>0</v>
      </c>
      <c r="AI120" s="18">
        <v>0</v>
      </c>
      <c r="AJ120" s="17">
        <v>0</v>
      </c>
      <c r="AK120" s="18">
        <v>0</v>
      </c>
      <c r="AL120" s="17">
        <v>0</v>
      </c>
      <c r="AM120" s="18">
        <v>0</v>
      </c>
      <c r="AN120" s="23">
        <v>0</v>
      </c>
      <c r="AO120" s="17">
        <v>0</v>
      </c>
      <c r="AP120" s="17">
        <v>0</v>
      </c>
      <c r="AQ120" s="18">
        <f>IFERROR(VLOOKUP(Ohj.lask.[[#This Row],[Y-tunnus]],#REF!,COLUMN(#REF!),FALSE),0)</f>
        <v>0</v>
      </c>
      <c r="AR120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20" s="17">
        <f>Ohj.lask.[[#This Row],[Jaettava € 1]]+Ohj.lask.[[#This Row],[Päätös, € 9]]</f>
        <v>122397</v>
      </c>
      <c r="AT120" s="113">
        <f>Ohj.lask.[[#This Row],[Jaettava € 2]]</f>
        <v>46132</v>
      </c>
      <c r="AU120" s="17">
        <f>Ohj.lask.[[#This Row],[Jaettava € 3]]+Ohj.lask.[[#This Row],[Jaettava € 4]]+Ohj.lask.[[#This Row],[Jaettava € 5]]</f>
        <v>27867</v>
      </c>
      <c r="AV120" s="42">
        <f>Ohj.lask.[[#This Row],[Jaettava € 6]]+Ohj.lask.[[#This Row],[Päätös, € 9]]</f>
        <v>196396</v>
      </c>
      <c r="AW120" s="42">
        <v>18373</v>
      </c>
      <c r="AX120" s="23">
        <f>Ohj.lask.[[#This Row],[Perus-, suoritus- ja vaikuttavuusrahoitus yhteensä, €]]+Ohj.lask.[[#This Row],[Alv-korvaus, €]]</f>
        <v>214769</v>
      </c>
    </row>
    <row r="121" spans="1:50" ht="12.75" x14ac:dyDescent="0.2">
      <c r="A121" s="134" t="s">
        <v>262</v>
      </c>
      <c r="B121" s="14" t="s">
        <v>117</v>
      </c>
      <c r="C121" s="107" t="s">
        <v>250</v>
      </c>
      <c r="D121" s="107" t="s">
        <v>392</v>
      </c>
      <c r="E121" s="107" t="s">
        <v>438</v>
      </c>
      <c r="F121" s="116">
        <v>102</v>
      </c>
      <c r="G121" s="124">
        <f>Ohj.lask.[[#This Row],[Tavoitteelliset opiskelija-vuodet]]-Ohj.lask.[[#This Row],[Järjestämisluvan opisk.vuosien vähimmäismäärä]]</f>
        <v>3</v>
      </c>
      <c r="H121" s="41">
        <v>105</v>
      </c>
      <c r="I121" s="15">
        <f>IFERROR(VLOOKUP($A121,'2.1 Toteut. op.vuodet'!$A:$T,COLUMN('2.1 Toteut. op.vuodet'!T:T),FALSE),0)</f>
        <v>1.3672882141299656</v>
      </c>
      <c r="J121" s="81">
        <f t="shared" si="3"/>
        <v>143.6</v>
      </c>
      <c r="K121" s="16">
        <f>IFERROR(Ohj.lask.[[#This Row],[Painotetut opiskelija-vuodet]]/Ohj.lask.[[#Totals],[Painotetut opiskelija-vuodet]],0)</f>
        <v>7.0127049116282009E-4</v>
      </c>
      <c r="L121" s="17">
        <f>ROUND(IFERROR('1.1 Jakotaulu'!L$11*Ohj.lask.[[#This Row],[%-osuus 1]],0),0)</f>
        <v>883230</v>
      </c>
      <c r="M121" s="186">
        <f>IFERROR(ROUND(VLOOKUP($A121,'2.2 Tutk. ja osien pain. pist.'!$A:$Q,COLUMN('2.2 Tutk. ja osien pain. pist.'!P:P),FALSE),1),0)</f>
        <v>10506.5</v>
      </c>
      <c r="N121" s="16">
        <f>IFERROR(Ohj.lask.[[#This Row],[Painotetut pisteet 2]]/Ohj.lask.[[#Totals],[Painotetut pisteet 2]],0)</f>
        <v>6.7447589470721577E-4</v>
      </c>
      <c r="O121" s="23">
        <f>ROUND(IFERROR('1.1 Jakotaulu'!K$12*Ohj.lask.[[#This Row],[%-osuus 2]],0),0)</f>
        <v>247655</v>
      </c>
      <c r="P121" s="187">
        <f>IFERROR(ROUND(VLOOKUP($A121,'2.3 Työll. ja jatko-opisk.'!$A:$K,COLUMN('2.3 Työll. ja jatko-opisk.'!I:I),FALSE),1),0)</f>
        <v>107.9</v>
      </c>
      <c r="Q121" s="20">
        <f>IFERROR(Ohj.lask.[[#This Row],[Painotetut pisteet 3]]/Ohj.lask.[[#Totals],[Painotetut pisteet 3]],0)</f>
        <v>5.4214866731416356E-4</v>
      </c>
      <c r="R121" s="17">
        <f>ROUND(IFERROR('1.1 Jakotaulu'!L$14*Ohj.lask.[[#This Row],[%-osuus 3]],0),0)</f>
        <v>74650</v>
      </c>
      <c r="S121" s="186">
        <f>IFERROR(ROUND(VLOOKUP($A121,'2.4 Aloittaneet palaute'!$A:$K,COLUMN('2.4 Aloittaneet palaute'!J:J),FALSE),1),0)</f>
        <v>899.6</v>
      </c>
      <c r="T121" s="20">
        <f>IFERROR(Ohj.lask.[[#This Row],[Painotetut pisteet 4]]/Ohj.lask.[[#Totals],[Painotetut pisteet 4]],0)</f>
        <v>5.4651896398327023E-4</v>
      </c>
      <c r="U121" s="23">
        <f>ROUND(IFERROR('1.1 Jakotaulu'!M$16*Ohj.lask.[[#This Row],[%-osuus 4]],0),0)</f>
        <v>6271</v>
      </c>
      <c r="V121" s="81">
        <f>IFERROR(ROUND(VLOOKUP($A121,'2.5 Päättäneet palaute'!$A:$AC,COLUMN('2.5 Päättäneet palaute'!AB:AB),FALSE),1),0)</f>
        <v>4179</v>
      </c>
      <c r="W121" s="20">
        <f>IFERROR(Ohj.lask.[[#This Row],[Painotetut pisteet 5]]/Ohj.lask.[[#Totals],[Painotetut pisteet 5]],0)</f>
        <v>4.8472275435916431E-4</v>
      </c>
      <c r="X121" s="17">
        <f>ROUND(IFERROR('1.1 Jakotaulu'!M$17*Ohj.lask.[[#This Row],[%-osuus 5]],0),0)</f>
        <v>16686</v>
      </c>
      <c r="Y121" s="19">
        <f>IFERROR(Ohj.lask.[[#This Row],[Jaettava € 6]]/Ohj.lask.[[#Totals],[Jaettava € 6]],"")</f>
        <v>6.7863337422596054E-4</v>
      </c>
      <c r="Z121" s="23">
        <f>IFERROR(Ohj.lask.[[#This Row],[Jaettava € 1]]+Ohj.lask.[[#This Row],[Jaettava € 2]]+Ohj.lask.[[#This Row],[Jaettava € 3]]+Ohj.lask.[[#This Row],[Jaettava € 4]]+Ohj.lask.[[#This Row],[Jaettava € 5]],"")</f>
        <v>1228492</v>
      </c>
      <c r="AA121" s="17">
        <v>0</v>
      </c>
      <c r="AB121" s="17">
        <v>0</v>
      </c>
      <c r="AC121" s="18">
        <v>0</v>
      </c>
      <c r="AD121" s="17">
        <v>0</v>
      </c>
      <c r="AE121" s="18">
        <v>0</v>
      </c>
      <c r="AF121" s="17">
        <v>0</v>
      </c>
      <c r="AG121" s="18">
        <v>53000</v>
      </c>
      <c r="AH121" s="17">
        <v>0</v>
      </c>
      <c r="AI121" s="18">
        <v>0</v>
      </c>
      <c r="AJ121" s="17">
        <v>0</v>
      </c>
      <c r="AK121" s="18">
        <v>0</v>
      </c>
      <c r="AL121" s="17">
        <v>0</v>
      </c>
      <c r="AM121" s="18">
        <v>27000</v>
      </c>
      <c r="AN121" s="23">
        <v>25000</v>
      </c>
      <c r="AO121" s="17">
        <v>0</v>
      </c>
      <c r="AP121" s="17">
        <v>0</v>
      </c>
      <c r="AQ121" s="18">
        <f>IFERROR(VLOOKUP(Ohj.lask.[[#This Row],[Y-tunnus]],#REF!,COLUMN(#REF!),FALSE),0)</f>
        <v>0</v>
      </c>
      <c r="AR121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25000</v>
      </c>
      <c r="AS121" s="17">
        <f>Ohj.lask.[[#This Row],[Jaettava € 1]]+Ohj.lask.[[#This Row],[Päätös, € 9]]</f>
        <v>908230</v>
      </c>
      <c r="AT121" s="113">
        <f>Ohj.lask.[[#This Row],[Jaettava € 2]]</f>
        <v>247655</v>
      </c>
      <c r="AU121" s="17">
        <f>Ohj.lask.[[#This Row],[Jaettava € 3]]+Ohj.lask.[[#This Row],[Jaettava € 4]]+Ohj.lask.[[#This Row],[Jaettava € 5]]</f>
        <v>97607</v>
      </c>
      <c r="AV121" s="42">
        <f>Ohj.lask.[[#This Row],[Jaettava € 6]]+Ohj.lask.[[#This Row],[Päätös, € 9]]</f>
        <v>1253492</v>
      </c>
      <c r="AW121" s="42">
        <v>0</v>
      </c>
      <c r="AX121" s="23">
        <f>Ohj.lask.[[#This Row],[Perus-, suoritus- ja vaikuttavuusrahoitus yhteensä, €]]+Ohj.lask.[[#This Row],[Alv-korvaus, €]]</f>
        <v>1253492</v>
      </c>
    </row>
    <row r="122" spans="1:50" ht="12.75" x14ac:dyDescent="0.2">
      <c r="A122" s="134" t="s">
        <v>261</v>
      </c>
      <c r="B122" s="14" t="s">
        <v>118</v>
      </c>
      <c r="C122" s="107" t="s">
        <v>230</v>
      </c>
      <c r="D122" s="107" t="s">
        <v>392</v>
      </c>
      <c r="E122" s="107" t="s">
        <v>438</v>
      </c>
      <c r="F122" s="116">
        <v>218</v>
      </c>
      <c r="G122" s="124">
        <f>Ohj.lask.[[#This Row],[Tavoitteelliset opiskelija-vuodet]]-Ohj.lask.[[#This Row],[Järjestämisluvan opisk.vuosien vähimmäismäärä]]</f>
        <v>64</v>
      </c>
      <c r="H122" s="41">
        <v>282</v>
      </c>
      <c r="I122" s="15">
        <f>IFERROR(VLOOKUP($A122,'2.1 Toteut. op.vuodet'!$A:$T,COLUMN('2.1 Toteut. op.vuodet'!T:T),FALSE),0)</f>
        <v>1.2060696010345062</v>
      </c>
      <c r="J122" s="81">
        <f t="shared" si="3"/>
        <v>340.1</v>
      </c>
      <c r="K122" s="16">
        <f>IFERROR(Ohj.lask.[[#This Row],[Painotetut opiskelija-vuodet]]/Ohj.lask.[[#Totals],[Painotetut opiskelija-vuodet]],0)</f>
        <v>1.6608780922317211E-3</v>
      </c>
      <c r="L122" s="17">
        <f>ROUND(IFERROR('1.1 Jakotaulu'!L$11*Ohj.lask.[[#This Row],[%-osuus 1]],0),0)</f>
        <v>2091828</v>
      </c>
      <c r="M122" s="186">
        <f>IFERROR(ROUND(VLOOKUP($A122,'2.2 Tutk. ja osien pain. pist.'!$A:$Q,COLUMN('2.2 Tutk. ja osien pain. pist.'!P:P),FALSE),1),0)</f>
        <v>30732.400000000001</v>
      </c>
      <c r="N122" s="16">
        <f>IFERROR(Ohj.lask.[[#This Row],[Painotetut pisteet 2]]/Ohj.lask.[[#Totals],[Painotetut pisteet 2]],0)</f>
        <v>1.9728989660210382E-3</v>
      </c>
      <c r="O122" s="23">
        <f>ROUND(IFERROR('1.1 Jakotaulu'!K$12*Ohj.lask.[[#This Row],[%-osuus 2]],0),0)</f>
        <v>724413</v>
      </c>
      <c r="P122" s="187">
        <f>IFERROR(ROUND(VLOOKUP($A122,'2.3 Työll. ja jatko-opisk.'!$A:$K,COLUMN('2.3 Työll. ja jatko-opisk.'!I:I),FALSE),1),0)</f>
        <v>333.5</v>
      </c>
      <c r="Q122" s="20">
        <f>IFERROR(Ohj.lask.[[#This Row],[Painotetut pisteet 3]]/Ohj.lask.[[#Totals],[Painotetut pisteet 3]],0)</f>
        <v>1.6756865667217195E-3</v>
      </c>
      <c r="R122" s="17">
        <f>ROUND(IFERROR('1.1 Jakotaulu'!L$14*Ohj.lask.[[#This Row],[%-osuus 3]],0),0)</f>
        <v>230731</v>
      </c>
      <c r="S122" s="186">
        <f>IFERROR(ROUND(VLOOKUP($A122,'2.4 Aloittaneet palaute'!$A:$K,COLUMN('2.4 Aloittaneet palaute'!J:J),FALSE),1),0)</f>
        <v>3334.3</v>
      </c>
      <c r="T122" s="20">
        <f>IFERROR(Ohj.lask.[[#This Row],[Painotetut pisteet 4]]/Ohj.lask.[[#Totals],[Painotetut pisteet 4]],0)</f>
        <v>2.0256315936076235E-3</v>
      </c>
      <c r="U122" s="23">
        <f>ROUND(IFERROR('1.1 Jakotaulu'!M$16*Ohj.lask.[[#This Row],[%-osuus 4]],0),0)</f>
        <v>23243</v>
      </c>
      <c r="V122" s="81">
        <f>IFERROR(ROUND(VLOOKUP($A122,'2.5 Päättäneet palaute'!$A:$AC,COLUMN('2.5 Päättäneet palaute'!AB:AB),FALSE),1),0)</f>
        <v>21993.200000000001</v>
      </c>
      <c r="W122" s="20">
        <f>IFERROR(Ohj.lask.[[#This Row],[Painotetut pisteet 5]]/Ohj.lask.[[#Totals],[Painotetut pisteet 5]],0)</f>
        <v>2.5509941328480433E-3</v>
      </c>
      <c r="X122" s="17">
        <f>ROUND(IFERROR('1.1 Jakotaulu'!M$17*Ohj.lask.[[#This Row],[%-osuus 5]],0),0)</f>
        <v>87814</v>
      </c>
      <c r="Y122" s="19">
        <f>IFERROR(Ohj.lask.[[#This Row],[Jaettava € 6]]/Ohj.lask.[[#Totals],[Jaettava € 6]],"")</f>
        <v>1.7445322201312143E-3</v>
      </c>
      <c r="Z122" s="23">
        <f>IFERROR(Ohj.lask.[[#This Row],[Jaettava € 1]]+Ohj.lask.[[#This Row],[Jaettava € 2]]+Ohj.lask.[[#This Row],[Jaettava € 3]]+Ohj.lask.[[#This Row],[Jaettava € 4]]+Ohj.lask.[[#This Row],[Jaettava € 5]],"")</f>
        <v>3158029</v>
      </c>
      <c r="AA122" s="17">
        <v>0</v>
      </c>
      <c r="AB122" s="17">
        <v>0</v>
      </c>
      <c r="AC122" s="18">
        <v>0</v>
      </c>
      <c r="AD122" s="17">
        <v>0</v>
      </c>
      <c r="AE122" s="18">
        <v>0</v>
      </c>
      <c r="AF122" s="17">
        <v>0</v>
      </c>
      <c r="AG122" s="18">
        <v>0</v>
      </c>
      <c r="AH122" s="17">
        <v>0</v>
      </c>
      <c r="AI122" s="18">
        <v>0</v>
      </c>
      <c r="AJ122" s="17">
        <v>0</v>
      </c>
      <c r="AK122" s="18">
        <v>0</v>
      </c>
      <c r="AL122" s="17">
        <v>0</v>
      </c>
      <c r="AM122" s="18">
        <v>50000</v>
      </c>
      <c r="AN122" s="23">
        <v>30000</v>
      </c>
      <c r="AO122" s="17">
        <v>0</v>
      </c>
      <c r="AP122" s="17">
        <v>0</v>
      </c>
      <c r="AQ122" s="18">
        <f>IFERROR(VLOOKUP(Ohj.lask.[[#This Row],[Y-tunnus]],#REF!,COLUMN(#REF!),FALSE),0)</f>
        <v>0</v>
      </c>
      <c r="AR122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30000</v>
      </c>
      <c r="AS122" s="17">
        <f>Ohj.lask.[[#This Row],[Jaettava € 1]]+Ohj.lask.[[#This Row],[Päätös, € 9]]</f>
        <v>2121828</v>
      </c>
      <c r="AT122" s="113">
        <f>Ohj.lask.[[#This Row],[Jaettava € 2]]</f>
        <v>724413</v>
      </c>
      <c r="AU122" s="17">
        <f>Ohj.lask.[[#This Row],[Jaettava € 3]]+Ohj.lask.[[#This Row],[Jaettava € 4]]+Ohj.lask.[[#This Row],[Jaettava € 5]]</f>
        <v>341788</v>
      </c>
      <c r="AV122" s="42">
        <f>Ohj.lask.[[#This Row],[Jaettava € 6]]+Ohj.lask.[[#This Row],[Päätös, € 9]]</f>
        <v>3188029</v>
      </c>
      <c r="AW122" s="42">
        <v>413110</v>
      </c>
      <c r="AX122" s="23">
        <f>Ohj.lask.[[#This Row],[Perus-, suoritus- ja vaikuttavuusrahoitus yhteensä, €]]+Ohj.lask.[[#This Row],[Alv-korvaus, €]]</f>
        <v>3601139</v>
      </c>
    </row>
    <row r="123" spans="1:50" ht="12.75" x14ac:dyDescent="0.2">
      <c r="A123" s="134" t="s">
        <v>260</v>
      </c>
      <c r="B123" s="14" t="s">
        <v>119</v>
      </c>
      <c r="C123" s="14" t="s">
        <v>216</v>
      </c>
      <c r="D123" s="14" t="s">
        <v>392</v>
      </c>
      <c r="E123" s="14" t="s">
        <v>438</v>
      </c>
      <c r="F123" s="117">
        <v>169</v>
      </c>
      <c r="G123" s="124">
        <f>Ohj.lask.[[#This Row],[Tavoitteelliset opiskelija-vuodet]]-Ohj.lask.[[#This Row],[Järjestämisluvan opisk.vuosien vähimmäismäärä]]</f>
        <v>67</v>
      </c>
      <c r="H123" s="41">
        <v>236</v>
      </c>
      <c r="I123" s="15">
        <f>IFERROR(VLOOKUP($A123,'2.1 Toteut. op.vuodet'!$A:$T,COLUMN('2.1 Toteut. op.vuodet'!T:T),FALSE),0)</f>
        <v>0.7831268496538123</v>
      </c>
      <c r="J123" s="81">
        <f t="shared" si="3"/>
        <v>184.8</v>
      </c>
      <c r="K123" s="16">
        <f>IFERROR(Ohj.lask.[[#This Row],[Painotetut opiskelija-vuodet]]/Ohj.lask.[[#Totals],[Painotetut opiskelija-vuodet]],0)</f>
        <v>9.0247065993655413E-4</v>
      </c>
      <c r="L123" s="17">
        <f>ROUND(IFERROR('1.1 Jakotaulu'!L$11*Ohj.lask.[[#This Row],[%-osuus 1]],0),0)</f>
        <v>1136636</v>
      </c>
      <c r="M123" s="186">
        <f>IFERROR(ROUND(VLOOKUP($A123,'2.2 Tutk. ja osien pain. pist.'!$A:$Q,COLUMN('2.2 Tutk. ja osien pain. pist.'!P:P),FALSE),1),0)</f>
        <v>15878.5</v>
      </c>
      <c r="N123" s="16">
        <f>IFERROR(Ohj.lask.[[#This Row],[Painotetut pisteet 2]]/Ohj.lask.[[#Totals],[Painotetut pisteet 2]],0)</f>
        <v>1.0193371240763837E-3</v>
      </c>
      <c r="O123" s="23">
        <f>ROUND(IFERROR('1.1 Jakotaulu'!K$12*Ohj.lask.[[#This Row],[%-osuus 2]],0),0)</f>
        <v>374282</v>
      </c>
      <c r="P123" s="187">
        <f>IFERROR(ROUND(VLOOKUP($A123,'2.3 Työll. ja jatko-opisk.'!$A:$K,COLUMN('2.3 Työll. ja jatko-opisk.'!I:I),FALSE),1),0)</f>
        <v>200.1</v>
      </c>
      <c r="Q123" s="16">
        <f>IFERROR(Ohj.lask.[[#This Row],[Painotetut pisteet 3]]/Ohj.lask.[[#Totals],[Painotetut pisteet 3]],0)</f>
        <v>1.0054119400330318E-3</v>
      </c>
      <c r="R123" s="17">
        <f>ROUND(IFERROR('1.1 Jakotaulu'!L$14*Ohj.lask.[[#This Row],[%-osuus 3]],0),0)</f>
        <v>138438</v>
      </c>
      <c r="S123" s="186">
        <f>IFERROR(ROUND(VLOOKUP($A123,'2.4 Aloittaneet palaute'!$A:$K,COLUMN('2.4 Aloittaneet palaute'!J:J),FALSE),1),0)</f>
        <v>4384.3</v>
      </c>
      <c r="T123" s="20">
        <f>IFERROR(Ohj.lask.[[#This Row],[Painotetut pisteet 4]]/Ohj.lask.[[#Totals],[Painotetut pisteet 4]],0)</f>
        <v>2.6635205577944104E-3</v>
      </c>
      <c r="U123" s="23">
        <f>ROUND(IFERROR('1.1 Jakotaulu'!M$16*Ohj.lask.[[#This Row],[%-osuus 4]],0),0)</f>
        <v>30562</v>
      </c>
      <c r="V123" s="81">
        <f>IFERROR(ROUND(VLOOKUP($A123,'2.5 Päättäneet palaute'!$A:$AC,COLUMN('2.5 Päättäneet palaute'!AB:AB),FALSE),1),0)</f>
        <v>23955.200000000001</v>
      </c>
      <c r="W123" s="20">
        <f>IFERROR(Ohj.lask.[[#This Row],[Painotetut pisteet 5]]/Ohj.lask.[[#Totals],[Painotetut pisteet 5]],0)</f>
        <v>2.7785667684193955E-3</v>
      </c>
      <c r="X123" s="17">
        <f>ROUND(IFERROR('1.1 Jakotaulu'!M$17*Ohj.lask.[[#This Row],[%-osuus 5]],0),0)</f>
        <v>95647</v>
      </c>
      <c r="Y123" s="19">
        <f>IFERROR(Ohj.lask.[[#This Row],[Jaettava € 6]]/Ohj.lask.[[#Totals],[Jaettava € 6]],"")</f>
        <v>9.8084290911745254E-4</v>
      </c>
      <c r="Z123" s="23">
        <f>IFERROR(Ohj.lask.[[#This Row],[Jaettava € 1]]+Ohj.lask.[[#This Row],[Jaettava € 2]]+Ohj.lask.[[#This Row],[Jaettava € 3]]+Ohj.lask.[[#This Row],[Jaettava € 4]]+Ohj.lask.[[#This Row],[Jaettava € 5]],"")</f>
        <v>1775565</v>
      </c>
      <c r="AA123" s="17">
        <v>0</v>
      </c>
      <c r="AB123" s="17">
        <v>0</v>
      </c>
      <c r="AC123" s="18">
        <v>0</v>
      </c>
      <c r="AD123" s="17">
        <v>0</v>
      </c>
      <c r="AE123" s="18">
        <v>0</v>
      </c>
      <c r="AF123" s="17">
        <v>0</v>
      </c>
      <c r="AG123" s="18">
        <v>0</v>
      </c>
      <c r="AH123" s="17">
        <v>0</v>
      </c>
      <c r="AI123" s="18">
        <v>0</v>
      </c>
      <c r="AJ123" s="17">
        <v>0</v>
      </c>
      <c r="AK123" s="18">
        <v>0</v>
      </c>
      <c r="AL123" s="17">
        <v>0</v>
      </c>
      <c r="AM123" s="18">
        <v>50000</v>
      </c>
      <c r="AN123" s="23">
        <v>0</v>
      </c>
      <c r="AO123" s="17">
        <v>0</v>
      </c>
      <c r="AP123" s="17">
        <v>0</v>
      </c>
      <c r="AQ123" s="18">
        <f>IFERROR(VLOOKUP(Ohj.lask.[[#This Row],[Y-tunnus]],#REF!,COLUMN(#REF!),FALSE),0)</f>
        <v>0</v>
      </c>
      <c r="AR123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23" s="17">
        <f>Ohj.lask.[[#This Row],[Jaettava € 1]]+Ohj.lask.[[#This Row],[Päätös, € 9]]</f>
        <v>1136636</v>
      </c>
      <c r="AT123" s="113">
        <f>Ohj.lask.[[#This Row],[Jaettava € 2]]</f>
        <v>374282</v>
      </c>
      <c r="AU123" s="17">
        <f>Ohj.lask.[[#This Row],[Jaettava € 3]]+Ohj.lask.[[#This Row],[Jaettava € 4]]+Ohj.lask.[[#This Row],[Jaettava € 5]]</f>
        <v>264647</v>
      </c>
      <c r="AV123" s="42">
        <f>Ohj.lask.[[#This Row],[Jaettava € 6]]+Ohj.lask.[[#This Row],[Päätös, € 9]]</f>
        <v>1775565</v>
      </c>
      <c r="AW123" s="42">
        <v>79076</v>
      </c>
      <c r="AX123" s="23">
        <f>Ohj.lask.[[#This Row],[Perus-, suoritus- ja vaikuttavuusrahoitus yhteensä, €]]+Ohj.lask.[[#This Row],[Alv-korvaus, €]]</f>
        <v>1854641</v>
      </c>
    </row>
    <row r="124" spans="1:50" ht="12.75" x14ac:dyDescent="0.2">
      <c r="A124" s="134" t="s">
        <v>259</v>
      </c>
      <c r="B124" s="14" t="s">
        <v>524</v>
      </c>
      <c r="C124" s="14" t="s">
        <v>249</v>
      </c>
      <c r="D124" s="14" t="s">
        <v>392</v>
      </c>
      <c r="E124" s="14" t="s">
        <v>438</v>
      </c>
      <c r="F124" s="117">
        <v>488</v>
      </c>
      <c r="G124" s="124">
        <f>Ohj.lask.[[#This Row],[Tavoitteelliset opiskelija-vuodet]]-Ohj.lask.[[#This Row],[Järjestämisluvan opisk.vuosien vähimmäismäärä]]</f>
        <v>230</v>
      </c>
      <c r="H124" s="41">
        <v>718</v>
      </c>
      <c r="I124" s="15">
        <f>IFERROR(VLOOKUP($A124,'2.1 Toteut. op.vuodet'!$A:$T,COLUMN('2.1 Toteut. op.vuodet'!T:T),FALSE),0)</f>
        <v>0.71924887184239705</v>
      </c>
      <c r="J124" s="81">
        <f t="shared" si="3"/>
        <v>516.4</v>
      </c>
      <c r="K124" s="16">
        <f>IFERROR(Ohj.lask.[[#This Row],[Painotetut opiskelija-vuodet]]/Ohj.lask.[[#Totals],[Painotetut opiskelija-vuodet]],0)</f>
        <v>2.5218390086105872E-3</v>
      </c>
      <c r="L124" s="17">
        <f>ROUND(IFERROR('1.1 Jakotaulu'!L$11*Ohj.lask.[[#This Row],[%-osuus 1]],0),0)</f>
        <v>3176183</v>
      </c>
      <c r="M124" s="186">
        <f>IFERROR(ROUND(VLOOKUP($A124,'2.2 Tutk. ja osien pain. pist.'!$A:$Q,COLUMN('2.2 Tutk. ja osien pain. pist.'!P:P),FALSE),1),0)</f>
        <v>45152.800000000003</v>
      </c>
      <c r="N124" s="16">
        <f>IFERROR(Ohj.lask.[[#This Row],[Painotetut pisteet 2]]/Ohj.lask.[[#Totals],[Painotetut pisteet 2]],0)</f>
        <v>2.8986318163552061E-3</v>
      </c>
      <c r="O124" s="23">
        <f>ROUND(IFERROR('1.1 Jakotaulu'!K$12*Ohj.lask.[[#This Row],[%-osuus 2]],0),0)</f>
        <v>1064325</v>
      </c>
      <c r="P124" s="187">
        <f>IFERROR(ROUND(VLOOKUP($A124,'2.3 Työll. ja jatko-opisk.'!$A:$K,COLUMN('2.3 Työll. ja jatko-opisk.'!I:I),FALSE),1),0)</f>
        <v>1083.5999999999999</v>
      </c>
      <c r="Q124" s="16">
        <f>IFERROR(Ohj.lask.[[#This Row],[Painotetut pisteet 3]]/Ohj.lask.[[#Totals],[Painotetut pisteet 3]],0)</f>
        <v>5.4445995913033132E-3</v>
      </c>
      <c r="R124" s="17">
        <f>ROUND(IFERROR('1.1 Jakotaulu'!L$14*Ohj.lask.[[#This Row],[%-osuus 3]],0),0)</f>
        <v>749685</v>
      </c>
      <c r="S124" s="186">
        <f>IFERROR(ROUND(VLOOKUP($A124,'2.4 Aloittaneet palaute'!$A:$K,COLUMN('2.4 Aloittaneet palaute'!J:J),FALSE),1),0)</f>
        <v>12504.9</v>
      </c>
      <c r="T124" s="20">
        <f>IFERROR(Ohj.lask.[[#This Row],[Painotetut pisteet 4]]/Ohj.lask.[[#Totals],[Painotetut pisteet 4]],0)</f>
        <v>7.5968930554850995E-3</v>
      </c>
      <c r="U124" s="23">
        <f>ROUND(IFERROR('1.1 Jakotaulu'!M$16*Ohj.lask.[[#This Row],[%-osuus 4]],0),0)</f>
        <v>87170</v>
      </c>
      <c r="V124" s="81">
        <f>IFERROR(ROUND(VLOOKUP($A124,'2.5 Päättäneet palaute'!$A:$AC,COLUMN('2.5 Päättäneet palaute'!AB:AB),FALSE),1),0)</f>
        <v>67792.5</v>
      </c>
      <c r="W124" s="20">
        <f>IFERROR(Ohj.lask.[[#This Row],[Painotetut pisteet 5]]/Ohj.lask.[[#Totals],[Painotetut pisteet 5]],0)</f>
        <v>7.8632609056936229E-3</v>
      </c>
      <c r="X124" s="17">
        <f>ROUND(IFERROR('1.1 Jakotaulu'!M$17*Ohj.lask.[[#This Row],[%-osuus 5]],0),0)</f>
        <v>270679</v>
      </c>
      <c r="Y124" s="19">
        <f>IFERROR(Ohj.lask.[[#This Row],[Jaettava € 6]]/Ohj.lask.[[#Totals],[Jaettava € 6]],"")</f>
        <v>2.9543210602609982E-3</v>
      </c>
      <c r="Z124" s="23">
        <f>IFERROR(Ohj.lask.[[#This Row],[Jaettava € 1]]+Ohj.lask.[[#This Row],[Jaettava € 2]]+Ohj.lask.[[#This Row],[Jaettava € 3]]+Ohj.lask.[[#This Row],[Jaettava € 4]]+Ohj.lask.[[#This Row],[Jaettava € 5]],"")</f>
        <v>5348042</v>
      </c>
      <c r="AA124" s="17">
        <v>0</v>
      </c>
      <c r="AB124" s="17">
        <v>0</v>
      </c>
      <c r="AC124" s="18">
        <v>0</v>
      </c>
      <c r="AD124" s="17">
        <v>0</v>
      </c>
      <c r="AE124" s="18">
        <v>0</v>
      </c>
      <c r="AF124" s="17">
        <v>0</v>
      </c>
      <c r="AG124" s="18">
        <v>0</v>
      </c>
      <c r="AH124" s="17">
        <v>0</v>
      </c>
      <c r="AI124" s="18">
        <v>0</v>
      </c>
      <c r="AJ124" s="17">
        <v>0</v>
      </c>
      <c r="AK124" s="18">
        <v>0</v>
      </c>
      <c r="AL124" s="17">
        <v>0</v>
      </c>
      <c r="AM124" s="18">
        <v>50000</v>
      </c>
      <c r="AN124" s="23">
        <v>35000</v>
      </c>
      <c r="AO124" s="17">
        <v>0</v>
      </c>
      <c r="AP124" s="17">
        <v>0</v>
      </c>
      <c r="AQ124" s="18">
        <f>IFERROR(VLOOKUP(Ohj.lask.[[#This Row],[Y-tunnus]],#REF!,COLUMN(#REF!),FALSE),0)</f>
        <v>0</v>
      </c>
      <c r="AR124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35000</v>
      </c>
      <c r="AS124" s="17">
        <f>Ohj.lask.[[#This Row],[Jaettava € 1]]+Ohj.lask.[[#This Row],[Päätös, € 9]]</f>
        <v>3211183</v>
      </c>
      <c r="AT124" s="113">
        <f>Ohj.lask.[[#This Row],[Jaettava € 2]]</f>
        <v>1064325</v>
      </c>
      <c r="AU124" s="17">
        <f>Ohj.lask.[[#This Row],[Jaettava € 3]]+Ohj.lask.[[#This Row],[Jaettava € 4]]+Ohj.lask.[[#This Row],[Jaettava € 5]]</f>
        <v>1107534</v>
      </c>
      <c r="AV124" s="42">
        <f>Ohj.lask.[[#This Row],[Jaettava € 6]]+Ohj.lask.[[#This Row],[Päätös, € 9]]</f>
        <v>5383042</v>
      </c>
      <c r="AW124" s="42">
        <v>306384</v>
      </c>
      <c r="AX124" s="23">
        <f>Ohj.lask.[[#This Row],[Perus-, suoritus- ja vaikuttavuusrahoitus yhteensä, €]]+Ohj.lask.[[#This Row],[Alv-korvaus, €]]</f>
        <v>5689426</v>
      </c>
    </row>
    <row r="125" spans="1:50" ht="12.75" x14ac:dyDescent="0.2">
      <c r="A125" s="134" t="s">
        <v>258</v>
      </c>
      <c r="B125" s="14" t="s">
        <v>121</v>
      </c>
      <c r="C125" s="14" t="s">
        <v>249</v>
      </c>
      <c r="D125" s="14" t="s">
        <v>391</v>
      </c>
      <c r="E125" s="14" t="s">
        <v>438</v>
      </c>
      <c r="F125" s="117">
        <v>514</v>
      </c>
      <c r="G125" s="124">
        <f>Ohj.lask.[[#This Row],[Tavoitteelliset opiskelija-vuodet]]-Ohj.lask.[[#This Row],[Järjestämisluvan opisk.vuosien vähimmäismäärä]]</f>
        <v>0</v>
      </c>
      <c r="H125" s="41">
        <v>514</v>
      </c>
      <c r="I125" s="15">
        <f>IFERROR(VLOOKUP($A125,'2.1 Toteut. op.vuodet'!$A:$T,COLUMN('2.1 Toteut. op.vuodet'!T:T),FALSE),0)</f>
        <v>1.2258224643000577</v>
      </c>
      <c r="J125" s="81">
        <f t="shared" si="3"/>
        <v>630.1</v>
      </c>
      <c r="K125" s="16">
        <f>IFERROR(Ohj.lask.[[#This Row],[Painotetut opiskelija-vuodet]]/Ohj.lask.[[#Totals],[Painotetut opiskelija-vuodet]],0)</f>
        <v>3.0770928724351879E-3</v>
      </c>
      <c r="L125" s="17">
        <f>ROUND(IFERROR('1.1 Jakotaulu'!L$11*Ohj.lask.[[#This Row],[%-osuus 1]],0),0)</f>
        <v>3875509</v>
      </c>
      <c r="M125" s="186">
        <f>IFERROR(ROUND(VLOOKUP($A125,'2.2 Tutk. ja osien pain. pist.'!$A:$Q,COLUMN('2.2 Tutk. ja osien pain. pist.'!P:P),FALSE),1),0)</f>
        <v>51875.1</v>
      </c>
      <c r="N125" s="16">
        <f>IFERROR(Ohj.lask.[[#This Row],[Painotetut pisteet 2]]/Ohj.lask.[[#Totals],[Painotetut pisteet 2]],0)</f>
        <v>3.3301769842979381E-3</v>
      </c>
      <c r="O125" s="23">
        <f>ROUND(IFERROR('1.1 Jakotaulu'!K$12*Ohj.lask.[[#This Row],[%-osuus 2]],0),0)</f>
        <v>1222781</v>
      </c>
      <c r="P125" s="187">
        <f>IFERROR(ROUND(VLOOKUP($A125,'2.3 Työll. ja jatko-opisk.'!$A:$K,COLUMN('2.3 Työll. ja jatko-opisk.'!I:I),FALSE),1),0)</f>
        <v>638.4</v>
      </c>
      <c r="Q125" s="16">
        <f>IFERROR(Ohj.lask.[[#This Row],[Painotetut pisteet 3]]/Ohj.lask.[[#Totals],[Painotetut pisteet 3]],0)</f>
        <v>3.2076710770469136E-3</v>
      </c>
      <c r="R125" s="17">
        <f>ROUND(IFERROR('1.1 Jakotaulu'!L$14*Ohj.lask.[[#This Row],[%-osuus 3]],0),0)</f>
        <v>441675</v>
      </c>
      <c r="S125" s="186">
        <f>IFERROR(ROUND(VLOOKUP($A125,'2.4 Aloittaneet palaute'!$A:$K,COLUMN('2.4 Aloittaneet palaute'!J:J),FALSE),1),0)</f>
        <v>2641.2</v>
      </c>
      <c r="T125" s="20">
        <f>IFERROR(Ohj.lask.[[#This Row],[Painotetut pisteet 4]]/Ohj.lask.[[#Totals],[Painotetut pisteet 4]],0)</f>
        <v>1.604564125914421E-3</v>
      </c>
      <c r="U125" s="23">
        <f>ROUND(IFERROR('1.1 Jakotaulu'!M$16*Ohj.lask.[[#This Row],[%-osuus 4]],0),0)</f>
        <v>18411</v>
      </c>
      <c r="V125" s="81">
        <f>IFERROR(ROUND(VLOOKUP($A125,'2.5 Päättäneet palaute'!$A:$AC,COLUMN('2.5 Päättäneet palaute'!AB:AB),FALSE),1),0)</f>
        <v>18300</v>
      </c>
      <c r="W125" s="20">
        <f>IFERROR(Ohj.lask.[[#This Row],[Painotetut pisteet 5]]/Ohj.lask.[[#Totals],[Painotetut pisteet 5]],0)</f>
        <v>2.1226193837694919E-3</v>
      </c>
      <c r="X125" s="17">
        <f>ROUND(IFERROR('1.1 Jakotaulu'!M$17*Ohj.lask.[[#This Row],[%-osuus 5]],0),0)</f>
        <v>73068</v>
      </c>
      <c r="Y125" s="19">
        <f>IFERROR(Ohj.lask.[[#This Row],[Jaettava € 6]]/Ohj.lask.[[#Totals],[Jaettava € 6]],"")</f>
        <v>3.1108756454942643E-3</v>
      </c>
      <c r="Z125" s="23">
        <f>IFERROR(Ohj.lask.[[#This Row],[Jaettava € 1]]+Ohj.lask.[[#This Row],[Jaettava € 2]]+Ohj.lask.[[#This Row],[Jaettava € 3]]+Ohj.lask.[[#This Row],[Jaettava € 4]]+Ohj.lask.[[#This Row],[Jaettava € 5]],"")</f>
        <v>5631444</v>
      </c>
      <c r="AA125" s="17">
        <v>150000</v>
      </c>
      <c r="AB125" s="17">
        <v>0</v>
      </c>
      <c r="AC125" s="18">
        <v>0</v>
      </c>
      <c r="AD125" s="17">
        <v>0</v>
      </c>
      <c r="AE125" s="18">
        <v>420000</v>
      </c>
      <c r="AF125" s="17">
        <v>0</v>
      </c>
      <c r="AG125" s="18">
        <v>160000</v>
      </c>
      <c r="AH125" s="17">
        <v>0</v>
      </c>
      <c r="AI125" s="18">
        <v>0</v>
      </c>
      <c r="AJ125" s="17">
        <v>0</v>
      </c>
      <c r="AK125" s="18">
        <v>0</v>
      </c>
      <c r="AL125" s="17">
        <v>0</v>
      </c>
      <c r="AM125" s="18">
        <v>150000</v>
      </c>
      <c r="AN125" s="23">
        <v>30000</v>
      </c>
      <c r="AO125" s="17">
        <v>0</v>
      </c>
      <c r="AP125" s="17">
        <v>0</v>
      </c>
      <c r="AQ125" s="18">
        <f>IFERROR(VLOOKUP(Ohj.lask.[[#This Row],[Y-tunnus]],#REF!,COLUMN(#REF!),FALSE),0)</f>
        <v>0</v>
      </c>
      <c r="AR125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30000</v>
      </c>
      <c r="AS125" s="17">
        <f>Ohj.lask.[[#This Row],[Jaettava € 1]]+Ohj.lask.[[#This Row],[Päätös, € 9]]</f>
        <v>3905509</v>
      </c>
      <c r="AT125" s="113">
        <f>Ohj.lask.[[#This Row],[Jaettava € 2]]</f>
        <v>1222781</v>
      </c>
      <c r="AU125" s="17">
        <f>Ohj.lask.[[#This Row],[Jaettava € 3]]+Ohj.lask.[[#This Row],[Jaettava € 4]]+Ohj.lask.[[#This Row],[Jaettava € 5]]</f>
        <v>533154</v>
      </c>
      <c r="AV125" s="42">
        <f>Ohj.lask.[[#This Row],[Jaettava € 6]]+Ohj.lask.[[#This Row],[Päätös, € 9]]</f>
        <v>5661444</v>
      </c>
      <c r="AW125" s="42">
        <v>0</v>
      </c>
      <c r="AX125" s="23">
        <f>Ohj.lask.[[#This Row],[Perus-, suoritus- ja vaikuttavuusrahoitus yhteensä, €]]+Ohj.lask.[[#This Row],[Alv-korvaus, €]]</f>
        <v>5661444</v>
      </c>
    </row>
    <row r="126" spans="1:50" ht="12.75" x14ac:dyDescent="0.2">
      <c r="A126" s="134" t="s">
        <v>257</v>
      </c>
      <c r="B126" s="14" t="s">
        <v>122</v>
      </c>
      <c r="C126" s="14" t="s">
        <v>216</v>
      </c>
      <c r="D126" s="14" t="s">
        <v>392</v>
      </c>
      <c r="E126" s="14" t="s">
        <v>439</v>
      </c>
      <c r="F126" s="117">
        <v>1087</v>
      </c>
      <c r="G126" s="124">
        <f>Ohj.lask.[[#This Row],[Tavoitteelliset opiskelija-vuodet]]-Ohj.lask.[[#This Row],[Järjestämisluvan opisk.vuosien vähimmäismäärä]]</f>
        <v>0</v>
      </c>
      <c r="H126" s="41">
        <v>1087</v>
      </c>
      <c r="I126" s="15">
        <f>IFERROR(VLOOKUP($A126,'2.1 Toteut. op.vuodet'!$A:$T,COLUMN('2.1 Toteut. op.vuodet'!T:T),FALSE),0)</f>
        <v>1.0335876080063371</v>
      </c>
      <c r="J126" s="81">
        <f t="shared" si="3"/>
        <v>1123.5</v>
      </c>
      <c r="K126" s="16">
        <f>IFERROR(Ohj.lask.[[#This Row],[Painotetut opiskelija-vuodet]]/Ohj.lask.[[#Totals],[Painotetut opiskelija-vuodet]],0)</f>
        <v>5.4866113984779136E-3</v>
      </c>
      <c r="L126" s="17">
        <f>ROUND(IFERROR('1.1 Jakotaulu'!L$11*Ohj.lask.[[#This Row],[%-osuus 1]],0),0)</f>
        <v>6910228</v>
      </c>
      <c r="M126" s="186">
        <f>IFERROR(ROUND(VLOOKUP($A126,'2.2 Tutk. ja osien pain. pist.'!$A:$Q,COLUMN('2.2 Tutk. ja osien pain. pist.'!P:P),FALSE),1),0)</f>
        <v>70425</v>
      </c>
      <c r="N126" s="16">
        <f>IFERROR(Ohj.lask.[[#This Row],[Painotetut pisteet 2]]/Ohj.lask.[[#Totals],[Painotetut pisteet 2]],0)</f>
        <v>4.521007460596361E-3</v>
      </c>
      <c r="O126" s="23">
        <f>ROUND(IFERROR('1.1 Jakotaulu'!K$12*Ohj.lask.[[#This Row],[%-osuus 2]],0),0)</f>
        <v>1660033</v>
      </c>
      <c r="P126" s="187">
        <f>IFERROR(ROUND(VLOOKUP($A126,'2.3 Työll. ja jatko-opisk.'!$A:$K,COLUMN('2.3 Työll. ja jatko-opisk.'!I:I),FALSE),1),0)</f>
        <v>1124</v>
      </c>
      <c r="Q126" s="16">
        <f>IFERROR(Ohj.lask.[[#This Row],[Painotetut pisteet 3]]/Ohj.lask.[[#Totals],[Painotetut pisteet 3]],0)</f>
        <v>5.6475913073319719E-3</v>
      </c>
      <c r="R126" s="17">
        <f>ROUND(IFERROR('1.1 Jakotaulu'!L$14*Ohj.lask.[[#This Row],[%-osuus 3]],0),0)</f>
        <v>777635</v>
      </c>
      <c r="S126" s="186">
        <f>IFERROR(ROUND(VLOOKUP($A126,'2.4 Aloittaneet palaute'!$A:$K,COLUMN('2.4 Aloittaneet palaute'!J:J),FALSE),1),0)</f>
        <v>8049.7</v>
      </c>
      <c r="T126" s="20">
        <f>IFERROR(Ohj.lask.[[#This Row],[Painotetut pisteet 4]]/Ohj.lask.[[#Totals],[Painotetut pisteet 4]],0)</f>
        <v>4.8902998047756002E-3</v>
      </c>
      <c r="U126" s="23">
        <f>ROUND(IFERROR('1.1 Jakotaulu'!M$16*Ohj.lask.[[#This Row],[%-osuus 4]],0),0)</f>
        <v>56113</v>
      </c>
      <c r="V126" s="81">
        <f>IFERROR(ROUND(VLOOKUP($A126,'2.5 Päättäneet palaute'!$A:$AC,COLUMN('2.5 Päättäneet palaute'!AB:AB),FALSE),1),0)</f>
        <v>39763</v>
      </c>
      <c r="W126" s="20">
        <f>IFERROR(Ohj.lask.[[#This Row],[Painotetut pisteet 5]]/Ohj.lask.[[#Totals],[Painotetut pisteet 5]],0)</f>
        <v>4.6121155495533498E-3</v>
      </c>
      <c r="X126" s="17">
        <f>ROUND(IFERROR('1.1 Jakotaulu'!M$17*Ohj.lask.[[#This Row],[%-osuus 5]],0),0)</f>
        <v>158764</v>
      </c>
      <c r="Y126" s="19">
        <f>IFERROR(Ohj.lask.[[#This Row],[Jaettava € 6]]/Ohj.lask.[[#Totals],[Jaettava € 6]],"")</f>
        <v>5.2825878458686833E-3</v>
      </c>
      <c r="Z126" s="23">
        <f>IFERROR(Ohj.lask.[[#This Row],[Jaettava € 1]]+Ohj.lask.[[#This Row],[Jaettava € 2]]+Ohj.lask.[[#This Row],[Jaettava € 3]]+Ohj.lask.[[#This Row],[Jaettava € 4]]+Ohj.lask.[[#This Row],[Jaettava € 5]],"")</f>
        <v>9562773</v>
      </c>
      <c r="AA126" s="17">
        <v>0</v>
      </c>
      <c r="AB126" s="17">
        <v>0</v>
      </c>
      <c r="AC126" s="18">
        <v>0</v>
      </c>
      <c r="AD126" s="17">
        <v>0</v>
      </c>
      <c r="AE126" s="18">
        <v>0</v>
      </c>
      <c r="AF126" s="17">
        <v>0</v>
      </c>
      <c r="AG126" s="18">
        <v>0</v>
      </c>
      <c r="AH126" s="17">
        <v>0</v>
      </c>
      <c r="AI126" s="18">
        <v>0</v>
      </c>
      <c r="AJ126" s="17">
        <v>0</v>
      </c>
      <c r="AK126" s="18">
        <v>0</v>
      </c>
      <c r="AL126" s="17">
        <v>0</v>
      </c>
      <c r="AM126" s="18">
        <v>15000</v>
      </c>
      <c r="AN126" s="23">
        <v>15000</v>
      </c>
      <c r="AO126" s="17">
        <v>80000</v>
      </c>
      <c r="AP126" s="17">
        <v>15000</v>
      </c>
      <c r="AQ126" s="18">
        <f>IFERROR(VLOOKUP(Ohj.lask.[[#This Row],[Y-tunnus]],#REF!,COLUMN(#REF!),FALSE),0)</f>
        <v>0</v>
      </c>
      <c r="AR126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30000</v>
      </c>
      <c r="AS126" s="17">
        <f>Ohj.lask.[[#This Row],[Jaettava € 1]]+Ohj.lask.[[#This Row],[Päätös, € 9]]</f>
        <v>6940228</v>
      </c>
      <c r="AT126" s="113">
        <f>Ohj.lask.[[#This Row],[Jaettava € 2]]</f>
        <v>1660033</v>
      </c>
      <c r="AU126" s="17">
        <f>Ohj.lask.[[#This Row],[Jaettava € 3]]+Ohj.lask.[[#This Row],[Jaettava € 4]]+Ohj.lask.[[#This Row],[Jaettava € 5]]</f>
        <v>992512</v>
      </c>
      <c r="AV126" s="42">
        <f>Ohj.lask.[[#This Row],[Jaettava € 6]]+Ohj.lask.[[#This Row],[Päätös, € 9]]</f>
        <v>9592773</v>
      </c>
      <c r="AW126" s="42">
        <v>300243</v>
      </c>
      <c r="AX126" s="23">
        <f>Ohj.lask.[[#This Row],[Perus-, suoritus- ja vaikuttavuusrahoitus yhteensä, €]]+Ohj.lask.[[#This Row],[Alv-korvaus, €]]</f>
        <v>9893016</v>
      </c>
    </row>
    <row r="127" spans="1:50" ht="12.75" x14ac:dyDescent="0.2">
      <c r="A127" s="134" t="s">
        <v>256</v>
      </c>
      <c r="B127" s="14" t="s">
        <v>123</v>
      </c>
      <c r="C127" s="14" t="s">
        <v>222</v>
      </c>
      <c r="D127" s="14" t="s">
        <v>391</v>
      </c>
      <c r="E127" s="14" t="s">
        <v>439</v>
      </c>
      <c r="F127" s="117">
        <v>1394</v>
      </c>
      <c r="G127" s="124">
        <f>Ohj.lask.[[#This Row],[Tavoitteelliset opiskelija-vuodet]]-Ohj.lask.[[#This Row],[Järjestämisluvan opisk.vuosien vähimmäismäärä]]</f>
        <v>125</v>
      </c>
      <c r="H127" s="41">
        <v>1519</v>
      </c>
      <c r="I127" s="15">
        <f>IFERROR(VLOOKUP($A127,'2.1 Toteut. op.vuodet'!$A:$T,COLUMN('2.1 Toteut. op.vuodet'!T:T),FALSE),0)</f>
        <v>1.1128062983124809</v>
      </c>
      <c r="J127" s="81">
        <f t="shared" si="3"/>
        <v>1690.4</v>
      </c>
      <c r="K127" s="16">
        <f>IFERROR(Ohj.lask.[[#This Row],[Painotetut opiskelija-vuodet]]/Ohj.lask.[[#Totals],[Painotetut opiskelija-vuodet]],0)</f>
        <v>8.2550671188135871E-3</v>
      </c>
      <c r="L127" s="17">
        <f>ROUND(IFERROR('1.1 Jakotaulu'!L$11*Ohj.lask.[[#This Row],[%-osuus 1]],0),0)</f>
        <v>10397018</v>
      </c>
      <c r="M127" s="186">
        <f>IFERROR(ROUND(VLOOKUP($A127,'2.2 Tutk. ja osien pain. pist.'!$A:$Q,COLUMN('2.2 Tutk. ja osien pain. pist.'!P:P),FALSE),1),0)</f>
        <v>133760.70000000001</v>
      </c>
      <c r="N127" s="16">
        <f>IFERROR(Ohj.lask.[[#This Row],[Painotetut pisteet 2]]/Ohj.lask.[[#Totals],[Painotetut pisteet 2]],0)</f>
        <v>8.5869097995682174E-3</v>
      </c>
      <c r="O127" s="23">
        <f>ROUND(IFERROR('1.1 Jakotaulu'!K$12*Ohj.lask.[[#This Row],[%-osuus 2]],0),0)</f>
        <v>3152959</v>
      </c>
      <c r="P127" s="187">
        <f>IFERROR(ROUND(VLOOKUP($A127,'2.3 Työll. ja jatko-opisk.'!$A:$K,COLUMN('2.3 Työll. ja jatko-opisk.'!I:I),FALSE),1),0)</f>
        <v>1905.3</v>
      </c>
      <c r="Q127" s="16">
        <f>IFERROR(Ohj.lask.[[#This Row],[Painotetut pisteet 3]]/Ohj.lask.[[#Totals],[Painotetut pisteet 3]],0)</f>
        <v>9.5732702116188666E-3</v>
      </c>
      <c r="R127" s="17">
        <f>ROUND(IFERROR('1.1 Jakotaulu'!L$14*Ohj.lask.[[#This Row],[%-osuus 3]],0),0)</f>
        <v>1318175</v>
      </c>
      <c r="S127" s="186">
        <f>IFERROR(ROUND(VLOOKUP($A127,'2.4 Aloittaneet palaute'!$A:$K,COLUMN('2.4 Aloittaneet palaute'!J:J),FALSE),1),0)</f>
        <v>14521.2</v>
      </c>
      <c r="T127" s="20">
        <f>IFERROR(Ohj.lask.[[#This Row],[Painotetut pisteet 4]]/Ohj.lask.[[#Totals],[Painotetut pisteet 4]],0)</f>
        <v>8.8218221207135E-3</v>
      </c>
      <c r="U127" s="23">
        <f>ROUND(IFERROR('1.1 Jakotaulu'!M$16*Ohj.lask.[[#This Row],[%-osuus 4]],0),0)</f>
        <v>101225</v>
      </c>
      <c r="V127" s="81">
        <f>IFERROR(ROUND(VLOOKUP($A127,'2.5 Päättäneet palaute'!$A:$AC,COLUMN('2.5 Päättäneet palaute'!AB:AB),FALSE),1),0)</f>
        <v>69784.2</v>
      </c>
      <c r="W127" s="20">
        <f>IFERROR(Ohj.lask.[[#This Row],[Painotetut pisteet 5]]/Ohj.lask.[[#Totals],[Painotetut pisteet 5]],0)</f>
        <v>8.0942784481337141E-3</v>
      </c>
      <c r="X127" s="17">
        <f>ROUND(IFERROR('1.1 Jakotaulu'!M$17*Ohj.lask.[[#This Row],[%-osuus 5]],0),0)</f>
        <v>278632</v>
      </c>
      <c r="Y127" s="19">
        <f>IFERROR(Ohj.lask.[[#This Row],[Jaettava € 6]]/Ohj.lask.[[#Totals],[Jaettava € 6]],"")</f>
        <v>8.4231788224081346E-3</v>
      </c>
      <c r="Z127" s="23">
        <f>IFERROR(Ohj.lask.[[#This Row],[Jaettava € 1]]+Ohj.lask.[[#This Row],[Jaettava € 2]]+Ohj.lask.[[#This Row],[Jaettava € 3]]+Ohj.lask.[[#This Row],[Jaettava € 4]]+Ohj.lask.[[#This Row],[Jaettava € 5]],"")</f>
        <v>15248009</v>
      </c>
      <c r="AA127" s="17">
        <v>0</v>
      </c>
      <c r="AB127" s="17">
        <v>0</v>
      </c>
      <c r="AC127" s="18">
        <v>0</v>
      </c>
      <c r="AD127" s="17">
        <v>0</v>
      </c>
      <c r="AE127" s="18">
        <v>0</v>
      </c>
      <c r="AF127" s="17">
        <v>0</v>
      </c>
      <c r="AG127" s="18">
        <v>295000</v>
      </c>
      <c r="AH127" s="17">
        <v>0</v>
      </c>
      <c r="AI127" s="18">
        <v>0</v>
      </c>
      <c r="AJ127" s="17">
        <v>0</v>
      </c>
      <c r="AK127" s="18">
        <v>0</v>
      </c>
      <c r="AL127" s="17">
        <v>0</v>
      </c>
      <c r="AM127" s="18">
        <v>175000</v>
      </c>
      <c r="AN127" s="23">
        <v>0</v>
      </c>
      <c r="AO127" s="17">
        <v>0</v>
      </c>
      <c r="AP127" s="17">
        <v>0</v>
      </c>
      <c r="AQ127" s="18">
        <f>IFERROR(VLOOKUP(Ohj.lask.[[#This Row],[Y-tunnus]],#REF!,COLUMN(#REF!),FALSE),0)</f>
        <v>0</v>
      </c>
      <c r="AR127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27" s="17">
        <f>Ohj.lask.[[#This Row],[Jaettava € 1]]+Ohj.lask.[[#This Row],[Päätös, € 9]]</f>
        <v>10397018</v>
      </c>
      <c r="AT127" s="113">
        <f>Ohj.lask.[[#This Row],[Jaettava € 2]]</f>
        <v>3152959</v>
      </c>
      <c r="AU127" s="17">
        <f>Ohj.lask.[[#This Row],[Jaettava € 3]]+Ohj.lask.[[#This Row],[Jaettava € 4]]+Ohj.lask.[[#This Row],[Jaettava € 5]]</f>
        <v>1698032</v>
      </c>
      <c r="AV127" s="42">
        <f>Ohj.lask.[[#This Row],[Jaettava € 6]]+Ohj.lask.[[#This Row],[Päätös, € 9]]</f>
        <v>15248009</v>
      </c>
      <c r="AW127" s="42">
        <v>0</v>
      </c>
      <c r="AX127" s="23">
        <f>Ohj.lask.[[#This Row],[Perus-, suoritus- ja vaikuttavuusrahoitus yhteensä, €]]+Ohj.lask.[[#This Row],[Alv-korvaus, €]]</f>
        <v>15248009</v>
      </c>
    </row>
    <row r="128" spans="1:50" ht="12.75" x14ac:dyDescent="0.2">
      <c r="A128" s="134" t="s">
        <v>255</v>
      </c>
      <c r="B128" s="14" t="s">
        <v>124</v>
      </c>
      <c r="C128" s="107" t="s">
        <v>227</v>
      </c>
      <c r="D128" s="107" t="s">
        <v>392</v>
      </c>
      <c r="E128" s="107" t="s">
        <v>438</v>
      </c>
      <c r="F128" s="116">
        <v>956</v>
      </c>
      <c r="G128" s="124">
        <f>Ohj.lask.[[#This Row],[Tavoitteelliset opiskelija-vuodet]]-Ohj.lask.[[#This Row],[Järjestämisluvan opisk.vuosien vähimmäismäärä]]</f>
        <v>1166</v>
      </c>
      <c r="H128" s="41">
        <v>2122</v>
      </c>
      <c r="I128" s="15">
        <f>IFERROR(VLOOKUP($A128,'2.1 Toteut. op.vuodet'!$A:$T,COLUMN('2.1 Toteut. op.vuodet'!T:T),FALSE),0)</f>
        <v>0.86774473321676138</v>
      </c>
      <c r="J128" s="81">
        <f t="shared" si="3"/>
        <v>1841.4</v>
      </c>
      <c r="K128" s="16">
        <f>IFERROR(Ohj.lask.[[#This Row],[Painotetut opiskelija-vuodet]]/Ohj.lask.[[#Totals],[Painotetut opiskelija-vuodet]],0)</f>
        <v>8.992475504367806E-3</v>
      </c>
      <c r="L128" s="17">
        <f>ROUND(IFERROR('1.1 Jakotaulu'!L$11*Ohj.lask.[[#This Row],[%-osuus 1]],0),0)</f>
        <v>11325762</v>
      </c>
      <c r="M128" s="186">
        <f>IFERROR(ROUND(VLOOKUP($A128,'2.2 Tutk. ja osien pain. pist.'!$A:$Q,COLUMN('2.2 Tutk. ja osien pain. pist.'!P:P),FALSE),1),0)</f>
        <v>165056.29999999999</v>
      </c>
      <c r="N128" s="16">
        <f>IFERROR(Ohj.lask.[[#This Row],[Painotetut pisteet 2]]/Ohj.lask.[[#Totals],[Painotetut pisteet 2]],0)</f>
        <v>1.0595963986062209E-2</v>
      </c>
      <c r="O128" s="23">
        <f>ROUND(IFERROR('1.1 Jakotaulu'!K$12*Ohj.lask.[[#This Row],[%-osuus 2]],0),0)</f>
        <v>3890647</v>
      </c>
      <c r="P128" s="187">
        <f>IFERROR(ROUND(VLOOKUP($A128,'2.3 Työll. ja jatko-opisk.'!$A:$K,COLUMN('2.3 Työll. ja jatko-opisk.'!I:I),FALSE),1),0)</f>
        <v>2299.6999999999998</v>
      </c>
      <c r="Q128" s="20">
        <f>IFERROR(Ohj.lask.[[#This Row],[Painotetut pisteet 3]]/Ohj.lask.[[#Totals],[Painotetut pisteet 3]],0)</f>
        <v>1.1554951716611509E-2</v>
      </c>
      <c r="R128" s="17">
        <f>ROUND(IFERROR('1.1 Jakotaulu'!L$14*Ohj.lask.[[#This Row],[%-osuus 3]],0),0)</f>
        <v>1591039</v>
      </c>
      <c r="S128" s="186">
        <f>IFERROR(ROUND(VLOOKUP($A128,'2.4 Aloittaneet palaute'!$A:$K,COLUMN('2.4 Aloittaneet palaute'!J:J),FALSE),1),0)</f>
        <v>41653</v>
      </c>
      <c r="T128" s="20">
        <f>IFERROR(Ohj.lask.[[#This Row],[Painotetut pisteet 4]]/Ohj.lask.[[#Totals],[Painotetut pisteet 4]],0)</f>
        <v>2.5304751452640235E-2</v>
      </c>
      <c r="U128" s="23">
        <f>ROUND(IFERROR('1.1 Jakotaulu'!M$16*Ohj.lask.[[#This Row],[%-osuus 4]],0),0)</f>
        <v>290358</v>
      </c>
      <c r="V128" s="81">
        <f>IFERROR(ROUND(VLOOKUP($A128,'2.5 Päättäneet palaute'!$A:$AC,COLUMN('2.5 Päättäneet palaute'!AB:AB),FALSE),1),0)</f>
        <v>196537.2</v>
      </c>
      <c r="W128" s="20">
        <f>IFERROR(Ohj.lask.[[#This Row],[Painotetut pisteet 5]]/Ohj.lask.[[#Totals],[Painotetut pisteet 5]],0)</f>
        <v>2.2796375429059094E-2</v>
      </c>
      <c r="X128" s="17">
        <f>ROUND(IFERROR('1.1 Jakotaulu'!M$17*Ohj.lask.[[#This Row],[%-osuus 5]],0),0)</f>
        <v>784727</v>
      </c>
      <c r="Y128" s="19">
        <f>IFERROR(Ohj.lask.[[#This Row],[Jaettava € 6]]/Ohj.lask.[[#Totals],[Jaettava € 6]],"")</f>
        <v>9.8785207469784808E-3</v>
      </c>
      <c r="Z128" s="23">
        <f>IFERROR(Ohj.lask.[[#This Row],[Jaettava € 1]]+Ohj.lask.[[#This Row],[Jaettava € 2]]+Ohj.lask.[[#This Row],[Jaettava € 3]]+Ohj.lask.[[#This Row],[Jaettava € 4]]+Ohj.lask.[[#This Row],[Jaettava € 5]],"")</f>
        <v>17882533</v>
      </c>
      <c r="AA128" s="17">
        <v>239000</v>
      </c>
      <c r="AB128" s="17">
        <v>0</v>
      </c>
      <c r="AC128" s="18">
        <v>0</v>
      </c>
      <c r="AD128" s="17">
        <v>0</v>
      </c>
      <c r="AE128" s="18">
        <v>0</v>
      </c>
      <c r="AF128" s="17">
        <v>0</v>
      </c>
      <c r="AG128" s="18">
        <v>0</v>
      </c>
      <c r="AH128" s="17">
        <v>0</v>
      </c>
      <c r="AI128" s="18">
        <v>0</v>
      </c>
      <c r="AJ128" s="17">
        <v>100000</v>
      </c>
      <c r="AK128" s="18">
        <v>0</v>
      </c>
      <c r="AL128" s="17">
        <v>0</v>
      </c>
      <c r="AM128" s="18">
        <v>125000</v>
      </c>
      <c r="AN128" s="23">
        <v>80000</v>
      </c>
      <c r="AO128" s="17">
        <v>0</v>
      </c>
      <c r="AP128" s="17">
        <v>0</v>
      </c>
      <c r="AQ128" s="18">
        <f>IFERROR(VLOOKUP(Ohj.lask.[[#This Row],[Y-tunnus]],#REF!,COLUMN(#REF!),FALSE),0)</f>
        <v>0</v>
      </c>
      <c r="AR128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180000</v>
      </c>
      <c r="AS128" s="17">
        <f>Ohj.lask.[[#This Row],[Jaettava € 1]]+Ohj.lask.[[#This Row],[Päätös, € 9]]</f>
        <v>11505762</v>
      </c>
      <c r="AT128" s="113">
        <f>Ohj.lask.[[#This Row],[Jaettava € 2]]</f>
        <v>3890647</v>
      </c>
      <c r="AU128" s="17">
        <f>Ohj.lask.[[#This Row],[Jaettava € 3]]+Ohj.lask.[[#This Row],[Jaettava € 4]]+Ohj.lask.[[#This Row],[Jaettava € 5]]</f>
        <v>2666124</v>
      </c>
      <c r="AV128" s="42">
        <f>Ohj.lask.[[#This Row],[Jaettava € 6]]+Ohj.lask.[[#This Row],[Päätös, € 9]]</f>
        <v>18062533</v>
      </c>
      <c r="AW128" s="42">
        <v>1045998</v>
      </c>
      <c r="AX128" s="23">
        <f>Ohj.lask.[[#This Row],[Perus-, suoritus- ja vaikuttavuusrahoitus yhteensä, €]]+Ohj.lask.[[#This Row],[Alv-korvaus, €]]</f>
        <v>19108531</v>
      </c>
    </row>
    <row r="129" spans="1:50" ht="12.75" x14ac:dyDescent="0.2">
      <c r="A129" s="134" t="s">
        <v>254</v>
      </c>
      <c r="B129" s="14" t="s">
        <v>125</v>
      </c>
      <c r="C129" s="14" t="s">
        <v>227</v>
      </c>
      <c r="D129" s="14" t="s">
        <v>393</v>
      </c>
      <c r="E129" s="14" t="s">
        <v>438</v>
      </c>
      <c r="F129" s="117">
        <v>8065</v>
      </c>
      <c r="G129" s="124">
        <f>Ohj.lask.[[#This Row],[Tavoitteelliset opiskelija-vuodet]]-Ohj.lask.[[#This Row],[Järjestämisluvan opisk.vuosien vähimmäismäärä]]</f>
        <v>557</v>
      </c>
      <c r="H129" s="41">
        <v>8622</v>
      </c>
      <c r="I129" s="15">
        <f>IFERROR(VLOOKUP($A129,'2.1 Toteut. op.vuodet'!$A:$T,COLUMN('2.1 Toteut. op.vuodet'!T:T),FALSE),0)</f>
        <v>1.0814230787446462</v>
      </c>
      <c r="J129" s="81">
        <f t="shared" si="3"/>
        <v>9324</v>
      </c>
      <c r="K129" s="16">
        <f>IFERROR(Ohj.lask.[[#This Row],[Painotetut opiskelija-vuodet]]/Ohj.lask.[[#Totals],[Painotetut opiskelija-vuodet]],0)</f>
        <v>4.5533746933162499E-2</v>
      </c>
      <c r="L129" s="17">
        <f>ROUND(IFERROR('1.1 Jakotaulu'!L$11*Ohj.lask.[[#This Row],[%-osuus 1]],0),0)</f>
        <v>57348434</v>
      </c>
      <c r="M129" s="186">
        <f>IFERROR(ROUND(VLOOKUP($A129,'2.2 Tutk. ja osien pain. pist.'!$A:$Q,COLUMN('2.2 Tutk. ja osien pain. pist.'!P:P),FALSE),1),0)</f>
        <v>770248.4</v>
      </c>
      <c r="N129" s="16">
        <f>IFERROR(Ohj.lask.[[#This Row],[Painotetut pisteet 2]]/Ohj.lask.[[#Totals],[Painotetut pisteet 2]],0)</f>
        <v>4.9446911791443525E-2</v>
      </c>
      <c r="O129" s="23">
        <f>ROUND(IFERROR('1.1 Jakotaulu'!K$12*Ohj.lask.[[#This Row],[%-osuus 2]],0),0)</f>
        <v>18156016</v>
      </c>
      <c r="P129" s="187">
        <f>IFERROR(ROUND(VLOOKUP($A129,'2.3 Työll. ja jatko-opisk.'!$A:$K,COLUMN('2.3 Työll. ja jatko-opisk.'!I:I),FALSE),1),0)</f>
        <v>10280.5</v>
      </c>
      <c r="Q129" s="16">
        <f>IFERROR(Ohj.lask.[[#This Row],[Painotetut pisteet 3]]/Ohj.lask.[[#Totals],[Painotetut pisteet 3]],0)</f>
        <v>5.1654859817639093E-2</v>
      </c>
      <c r="R129" s="17">
        <f>ROUND(IFERROR('1.1 Jakotaulu'!L$14*Ohj.lask.[[#This Row],[%-osuus 3]],0),0)</f>
        <v>7112526</v>
      </c>
      <c r="S129" s="186">
        <f>IFERROR(ROUND(VLOOKUP($A129,'2.4 Aloittaneet palaute'!$A:$K,COLUMN('2.4 Aloittaneet palaute'!J:J),FALSE),1),0)</f>
        <v>81251.100000000006</v>
      </c>
      <c r="T129" s="20">
        <f>IFERROR(Ohj.lask.[[#This Row],[Painotetut pisteet 4]]/Ohj.lask.[[#Totals],[Painotetut pisteet 4]],0)</f>
        <v>4.9361123826701971E-2</v>
      </c>
      <c r="U129" s="23">
        <f>ROUND(IFERROR('1.1 Jakotaulu'!M$16*Ohj.lask.[[#This Row],[%-osuus 4]],0),0)</f>
        <v>566391</v>
      </c>
      <c r="V129" s="81">
        <f>IFERROR(ROUND(VLOOKUP($A129,'2.5 Päättäneet palaute'!$A:$AC,COLUMN('2.5 Päättäneet palaute'!AB:AB),FALSE),1),0)</f>
        <v>450662.7</v>
      </c>
      <c r="W129" s="20">
        <f>IFERROR(Ohj.lask.[[#This Row],[Painotetut pisteet 5]]/Ohj.lask.[[#Totals],[Painotetut pisteet 5]],0)</f>
        <v>5.2272425276606312E-2</v>
      </c>
      <c r="X129" s="17">
        <f>ROUND(IFERROR('1.1 Jakotaulu'!M$17*Ohj.lask.[[#This Row],[%-osuus 5]],0),0)</f>
        <v>1799390</v>
      </c>
      <c r="Y129" s="19">
        <f>IFERROR(Ohj.lask.[[#This Row],[Jaettava € 6]]/Ohj.lask.[[#Totals],[Jaettava € 6]],"")</f>
        <v>4.6945470653398526E-2</v>
      </c>
      <c r="Z129" s="23">
        <f>IFERROR(Ohj.lask.[[#This Row],[Jaettava € 1]]+Ohj.lask.[[#This Row],[Jaettava € 2]]+Ohj.lask.[[#This Row],[Jaettava € 3]]+Ohj.lask.[[#This Row],[Jaettava € 4]]+Ohj.lask.[[#This Row],[Jaettava € 5]],"")</f>
        <v>84982757</v>
      </c>
      <c r="AA129" s="17">
        <v>630000</v>
      </c>
      <c r="AB129" s="17">
        <v>0</v>
      </c>
      <c r="AC129" s="18">
        <v>0</v>
      </c>
      <c r="AD129" s="17">
        <v>0</v>
      </c>
      <c r="AE129" s="18">
        <v>0</v>
      </c>
      <c r="AF129" s="17">
        <v>0</v>
      </c>
      <c r="AG129" s="18">
        <v>700000</v>
      </c>
      <c r="AH129" s="17">
        <v>0</v>
      </c>
      <c r="AI129" s="18">
        <v>0</v>
      </c>
      <c r="AJ129" s="17">
        <v>30000</v>
      </c>
      <c r="AK129" s="18">
        <v>0</v>
      </c>
      <c r="AL129" s="17">
        <v>0</v>
      </c>
      <c r="AM129" s="18">
        <v>140000</v>
      </c>
      <c r="AN129" s="23">
        <v>140000</v>
      </c>
      <c r="AO129" s="17">
        <v>160000</v>
      </c>
      <c r="AP129" s="17">
        <v>83000</v>
      </c>
      <c r="AQ129" s="18">
        <f>IFERROR(VLOOKUP(Ohj.lask.[[#This Row],[Y-tunnus]],#REF!,COLUMN(#REF!),FALSE),0)</f>
        <v>0</v>
      </c>
      <c r="AR129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253000</v>
      </c>
      <c r="AS129" s="17">
        <f>Ohj.lask.[[#This Row],[Jaettava € 1]]+Ohj.lask.[[#This Row],[Päätös, € 9]]</f>
        <v>57601434</v>
      </c>
      <c r="AT129" s="113">
        <f>Ohj.lask.[[#This Row],[Jaettava € 2]]</f>
        <v>18156016</v>
      </c>
      <c r="AU129" s="17">
        <f>Ohj.lask.[[#This Row],[Jaettava € 3]]+Ohj.lask.[[#This Row],[Jaettava € 4]]+Ohj.lask.[[#This Row],[Jaettava € 5]]</f>
        <v>9478307</v>
      </c>
      <c r="AV129" s="42">
        <f>Ohj.lask.[[#This Row],[Jaettava € 6]]+Ohj.lask.[[#This Row],[Päätös, € 9]]</f>
        <v>85235757</v>
      </c>
      <c r="AW129" s="42">
        <v>0</v>
      </c>
      <c r="AX129" s="23">
        <f>Ohj.lask.[[#This Row],[Perus-, suoritus- ja vaikuttavuusrahoitus yhteensä, €]]+Ohj.lask.[[#This Row],[Alv-korvaus, €]]</f>
        <v>85235757</v>
      </c>
    </row>
    <row r="130" spans="1:50" ht="12.75" x14ac:dyDescent="0.2">
      <c r="A130" s="134" t="s">
        <v>253</v>
      </c>
      <c r="B130" s="14" t="s">
        <v>126</v>
      </c>
      <c r="C130" s="14" t="s">
        <v>227</v>
      </c>
      <c r="D130" s="14" t="s">
        <v>392</v>
      </c>
      <c r="E130" s="14" t="s">
        <v>438</v>
      </c>
      <c r="F130" s="117">
        <v>61</v>
      </c>
      <c r="G130" s="124">
        <f>Ohj.lask.[[#This Row],[Tavoitteelliset opiskelija-vuodet]]-Ohj.lask.[[#This Row],[Järjestämisluvan opisk.vuosien vähimmäismäärä]]</f>
        <v>5</v>
      </c>
      <c r="H130" s="41">
        <v>66</v>
      </c>
      <c r="I130" s="15">
        <f>IFERROR(VLOOKUP($A130,'2.1 Toteut. op.vuodet'!$A:$T,COLUMN('2.1 Toteut. op.vuodet'!T:T),FALSE),0)</f>
        <v>1.4688708001385533</v>
      </c>
      <c r="J130" s="81">
        <f t="shared" si="3"/>
        <v>96.9</v>
      </c>
      <c r="K130" s="16">
        <f>IFERROR(Ohj.lask.[[#This Row],[Painotetut opiskelija-vuodet]]/Ohj.lask.[[#Totals],[Painotetut opiskelija-vuodet]],0)</f>
        <v>4.7321107655764121E-4</v>
      </c>
      <c r="L130" s="17">
        <f>ROUND(IFERROR('1.1 Jakotaulu'!L$11*Ohj.lask.[[#This Row],[%-osuus 1]],0),0)</f>
        <v>595996</v>
      </c>
      <c r="M130" s="186">
        <f>IFERROR(ROUND(VLOOKUP($A130,'2.2 Tutk. ja osien pain. pist.'!$A:$Q,COLUMN('2.2 Tutk. ja osien pain. pist.'!P:P),FALSE),1),0)</f>
        <v>8806.5</v>
      </c>
      <c r="N130" s="16">
        <f>IFERROR(Ohj.lask.[[#This Row],[Painotetut pisteet 2]]/Ohj.lask.[[#Totals],[Painotetut pisteet 2]],0)</f>
        <v>5.6534259427393479E-4</v>
      </c>
      <c r="O130" s="23">
        <f>ROUND(IFERROR('1.1 Jakotaulu'!K$12*Ohj.lask.[[#This Row],[%-osuus 2]],0),0)</f>
        <v>207584</v>
      </c>
      <c r="P130" s="187">
        <f>IFERROR(ROUND(VLOOKUP($A130,'2.3 Työll. ja jatko-opisk.'!$A:$K,COLUMN('2.3 Työll. ja jatko-opisk.'!I:I),FALSE),1),0)</f>
        <v>95.6</v>
      </c>
      <c r="Q130" s="16">
        <f>IFERROR(Ohj.lask.[[#This Row],[Painotetut pisteet 3]]/Ohj.lask.[[#Totals],[Painotetut pisteet 3]],0)</f>
        <v>4.8034673396880472E-4</v>
      </c>
      <c r="R130" s="17">
        <f>ROUND(IFERROR('1.1 Jakotaulu'!L$14*Ohj.lask.[[#This Row],[%-osuus 3]],0),0)</f>
        <v>66141</v>
      </c>
      <c r="S130" s="186">
        <f>IFERROR(ROUND(VLOOKUP($A130,'2.4 Aloittaneet palaute'!$A:$K,COLUMN('2.4 Aloittaneet palaute'!J:J),FALSE),1),0)</f>
        <v>648</v>
      </c>
      <c r="T130" s="20">
        <f>IFERROR(Ohj.lask.[[#This Row],[Painotetut pisteet 4]]/Ohj.lask.[[#Totals],[Painotetut pisteet 4]],0)</f>
        <v>3.9366861789813149E-4</v>
      </c>
      <c r="U130" s="23">
        <f>ROUND(IFERROR('1.1 Jakotaulu'!M$16*Ohj.lask.[[#This Row],[%-osuus 4]],0),0)</f>
        <v>4517</v>
      </c>
      <c r="V130" s="81">
        <f>IFERROR(ROUND(VLOOKUP($A130,'2.5 Päättäneet palaute'!$A:$AC,COLUMN('2.5 Päättäneet palaute'!AB:AB),FALSE),1),0)</f>
        <v>3154.2</v>
      </c>
      <c r="W130" s="20">
        <f>IFERROR(Ohj.lask.[[#This Row],[Painotetut pisteet 5]]/Ohj.lask.[[#Totals],[Painotetut pisteet 5]],0)</f>
        <v>3.6585606886807272E-4</v>
      </c>
      <c r="X130" s="17">
        <f>ROUND(IFERROR('1.1 Jakotaulu'!M$17*Ohj.lask.[[#This Row],[%-osuus 5]],0),0)</f>
        <v>12594</v>
      </c>
      <c r="Y130" s="19">
        <f>IFERROR(Ohj.lask.[[#This Row],[Jaettava € 6]]/Ohj.lask.[[#Totals],[Jaettava € 6]],"")</f>
        <v>4.8989638722234823E-4</v>
      </c>
      <c r="Z130" s="23">
        <f>IFERROR(Ohj.lask.[[#This Row],[Jaettava € 1]]+Ohj.lask.[[#This Row],[Jaettava € 2]]+Ohj.lask.[[#This Row],[Jaettava € 3]]+Ohj.lask.[[#This Row],[Jaettava € 4]]+Ohj.lask.[[#This Row],[Jaettava € 5]],"")</f>
        <v>886832</v>
      </c>
      <c r="AA130" s="17">
        <v>0</v>
      </c>
      <c r="AB130" s="17">
        <v>0</v>
      </c>
      <c r="AC130" s="18">
        <v>0</v>
      </c>
      <c r="AD130" s="17">
        <v>0</v>
      </c>
      <c r="AE130" s="18">
        <v>0</v>
      </c>
      <c r="AF130" s="17">
        <v>0</v>
      </c>
      <c r="AG130" s="18">
        <v>0</v>
      </c>
      <c r="AH130" s="17">
        <v>0</v>
      </c>
      <c r="AI130" s="18">
        <v>0</v>
      </c>
      <c r="AJ130" s="17">
        <v>0</v>
      </c>
      <c r="AK130" s="18">
        <v>50000</v>
      </c>
      <c r="AL130" s="17">
        <v>0</v>
      </c>
      <c r="AM130" s="18">
        <v>0</v>
      </c>
      <c r="AN130" s="23">
        <v>0</v>
      </c>
      <c r="AO130" s="17">
        <v>0</v>
      </c>
      <c r="AP130" s="17">
        <v>0</v>
      </c>
      <c r="AQ130" s="18">
        <f>IFERROR(VLOOKUP(Ohj.lask.[[#This Row],[Y-tunnus]],#REF!,COLUMN(#REF!),FALSE),0)</f>
        <v>0</v>
      </c>
      <c r="AR130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30" s="17">
        <f>Ohj.lask.[[#This Row],[Jaettava € 1]]+Ohj.lask.[[#This Row],[Päätös, € 9]]</f>
        <v>595996</v>
      </c>
      <c r="AT130" s="113">
        <f>Ohj.lask.[[#This Row],[Jaettava € 2]]</f>
        <v>207584</v>
      </c>
      <c r="AU130" s="17">
        <f>Ohj.lask.[[#This Row],[Jaettava € 3]]+Ohj.lask.[[#This Row],[Jaettava € 4]]+Ohj.lask.[[#This Row],[Jaettava € 5]]</f>
        <v>83252</v>
      </c>
      <c r="AV130" s="42">
        <f>Ohj.lask.[[#This Row],[Jaettava € 6]]+Ohj.lask.[[#This Row],[Päätös, € 9]]</f>
        <v>886832</v>
      </c>
      <c r="AW130" s="42">
        <v>35615</v>
      </c>
      <c r="AX130" s="23">
        <f>Ohj.lask.[[#This Row],[Perus-, suoritus- ja vaikuttavuusrahoitus yhteensä, €]]+Ohj.lask.[[#This Row],[Alv-korvaus, €]]</f>
        <v>922447</v>
      </c>
    </row>
    <row r="131" spans="1:50" ht="12.75" x14ac:dyDescent="0.2">
      <c r="A131" s="134" t="s">
        <v>251</v>
      </c>
      <c r="B131" s="14" t="s">
        <v>127</v>
      </c>
      <c r="C131" s="14" t="s">
        <v>250</v>
      </c>
      <c r="D131" s="14" t="s">
        <v>392</v>
      </c>
      <c r="E131" s="14" t="s">
        <v>438</v>
      </c>
      <c r="F131" s="117">
        <v>66</v>
      </c>
      <c r="G131" s="124">
        <f>Ohj.lask.[[#This Row],[Tavoitteelliset opiskelija-vuodet]]-Ohj.lask.[[#This Row],[Järjestämisluvan opisk.vuosien vähimmäismäärä]]</f>
        <v>0</v>
      </c>
      <c r="H131" s="41">
        <v>66</v>
      </c>
      <c r="I131" s="15">
        <f>IFERROR(VLOOKUP($A131,'2.1 Toteut. op.vuodet'!$A:$T,COLUMN('2.1 Toteut. op.vuodet'!T:T),FALSE),0)</f>
        <v>1.6300467181355565</v>
      </c>
      <c r="J131" s="81">
        <f t="shared" si="3"/>
        <v>107.6</v>
      </c>
      <c r="K131" s="16">
        <f>IFERROR(Ohj.lask.[[#This Row],[Painotetut opiskelija-vuodet]]/Ohj.lask.[[#Totals],[Painotetut opiskelija-vuodet]],0)</f>
        <v>5.2546451844790701E-4</v>
      </c>
      <c r="L131" s="17">
        <f>ROUND(IFERROR('1.1 Jakotaulu'!L$11*Ohj.lask.[[#This Row],[%-osuus 1]],0),0)</f>
        <v>661807</v>
      </c>
      <c r="M131" s="186">
        <f>IFERROR(ROUND(VLOOKUP($A131,'2.2 Tutk. ja osien pain. pist.'!$A:$Q,COLUMN('2.2 Tutk. ja osien pain. pist.'!P:P),FALSE),1),0)</f>
        <v>13284.5</v>
      </c>
      <c r="N131" s="16">
        <f>IFERROR(Ohj.lask.[[#This Row],[Painotetut pisteet 2]]/Ohj.lask.[[#Totals],[Painotetut pisteet 2]],0)</f>
        <v>8.5281254682701259E-4</v>
      </c>
      <c r="O131" s="23">
        <f>ROUND(IFERROR('1.1 Jakotaulu'!K$12*Ohj.lask.[[#This Row],[%-osuus 2]],0),0)</f>
        <v>313137</v>
      </c>
      <c r="P131" s="187">
        <f>IFERROR(ROUND(VLOOKUP($A131,'2.3 Työll. ja jatko-opisk.'!$A:$K,COLUMN('2.3 Työll. ja jatko-opisk.'!I:I),FALSE),1),0)</f>
        <v>89.5</v>
      </c>
      <c r="Q131" s="16">
        <f>IFERROR(Ohj.lask.[[#This Row],[Painotetut pisteet 3]]/Ohj.lask.[[#Totals],[Painotetut pisteet 3]],0)</f>
        <v>4.4969699466744799E-4</v>
      </c>
      <c r="R131" s="17">
        <f>ROUND(IFERROR('1.1 Jakotaulu'!L$14*Ohj.lask.[[#This Row],[%-osuus 3]],0),0)</f>
        <v>61920</v>
      </c>
      <c r="S131" s="186">
        <f>IFERROR(ROUND(VLOOKUP($A131,'2.4 Aloittaneet palaute'!$A:$K,COLUMN('2.4 Aloittaneet palaute'!J:J),FALSE),1),0)</f>
        <v>805</v>
      </c>
      <c r="T131" s="20">
        <f>IFERROR(Ohj.lask.[[#This Row],[Painotetut pisteet 4]]/Ohj.lask.[[#Totals],[Painotetut pisteet 4]],0)</f>
        <v>4.890482058765368E-4</v>
      </c>
      <c r="U131" s="23">
        <f>ROUND(IFERROR('1.1 Jakotaulu'!M$16*Ohj.lask.[[#This Row],[%-osuus 4]],0),0)</f>
        <v>5612</v>
      </c>
      <c r="V131" s="81">
        <f>IFERROR(ROUND(VLOOKUP($A131,'2.5 Päättäneet palaute'!$A:$AC,COLUMN('2.5 Päättäneet palaute'!AB:AB),FALSE),1),0)</f>
        <v>3494.9</v>
      </c>
      <c r="W131" s="20">
        <f>IFERROR(Ohj.lask.[[#This Row],[Painotetut pisteet 5]]/Ohj.lask.[[#Totals],[Painotetut pisteet 5]],0)</f>
        <v>4.0537390624786874E-4</v>
      </c>
      <c r="X131" s="17">
        <f>ROUND(IFERROR('1.1 Jakotaulu'!M$17*Ohj.lask.[[#This Row],[%-osuus 5]],0),0)</f>
        <v>13954</v>
      </c>
      <c r="Y131" s="19">
        <f>IFERROR(Ohj.lask.[[#This Row],[Jaettava € 6]]/Ohj.lask.[[#Totals],[Jaettava € 6]],"")</f>
        <v>5.8358430948962745E-4</v>
      </c>
      <c r="Z131" s="23">
        <f>IFERROR(Ohj.lask.[[#This Row],[Jaettava € 1]]+Ohj.lask.[[#This Row],[Jaettava € 2]]+Ohj.lask.[[#This Row],[Jaettava € 3]]+Ohj.lask.[[#This Row],[Jaettava € 4]]+Ohj.lask.[[#This Row],[Jaettava € 5]],"")</f>
        <v>1056430</v>
      </c>
      <c r="AA131" s="17">
        <v>0</v>
      </c>
      <c r="AB131" s="17">
        <v>0</v>
      </c>
      <c r="AC131" s="18">
        <v>0</v>
      </c>
      <c r="AD131" s="17">
        <v>0</v>
      </c>
      <c r="AE131" s="18">
        <v>0</v>
      </c>
      <c r="AF131" s="17">
        <v>0</v>
      </c>
      <c r="AG131" s="18">
        <v>0</v>
      </c>
      <c r="AH131" s="17">
        <v>0</v>
      </c>
      <c r="AI131" s="18">
        <v>0</v>
      </c>
      <c r="AJ131" s="17">
        <v>0</v>
      </c>
      <c r="AK131" s="18">
        <v>0</v>
      </c>
      <c r="AL131" s="17">
        <v>0</v>
      </c>
      <c r="AM131" s="18">
        <v>0</v>
      </c>
      <c r="AN131" s="23">
        <v>0</v>
      </c>
      <c r="AO131" s="17">
        <v>0</v>
      </c>
      <c r="AP131" s="17">
        <v>0</v>
      </c>
      <c r="AQ131" s="18">
        <f>IFERROR(VLOOKUP(Ohj.lask.[[#This Row],[Y-tunnus]],#REF!,COLUMN(#REF!),FALSE),0)</f>
        <v>0</v>
      </c>
      <c r="AR131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31" s="17">
        <f>Ohj.lask.[[#This Row],[Jaettava € 1]]+Ohj.lask.[[#This Row],[Päätös, € 9]]</f>
        <v>661807</v>
      </c>
      <c r="AT131" s="113">
        <f>Ohj.lask.[[#This Row],[Jaettava € 2]]</f>
        <v>313137</v>
      </c>
      <c r="AU131" s="17">
        <f>Ohj.lask.[[#This Row],[Jaettava € 3]]+Ohj.lask.[[#This Row],[Jaettava € 4]]+Ohj.lask.[[#This Row],[Jaettava € 5]]</f>
        <v>81486</v>
      </c>
      <c r="AV131" s="42">
        <f>Ohj.lask.[[#This Row],[Jaettava € 6]]+Ohj.lask.[[#This Row],[Päätös, € 9]]</f>
        <v>1056430</v>
      </c>
      <c r="AW131" s="42">
        <v>48184</v>
      </c>
      <c r="AX131" s="23">
        <f>Ohj.lask.[[#This Row],[Perus-, suoritus- ja vaikuttavuusrahoitus yhteensä, €]]+Ohj.lask.[[#This Row],[Alv-korvaus, €]]</f>
        <v>1104614</v>
      </c>
    </row>
    <row r="132" spans="1:50" ht="12.75" x14ac:dyDescent="0.2">
      <c r="A132" s="134" t="s">
        <v>246</v>
      </c>
      <c r="B132" s="14" t="s">
        <v>128</v>
      </c>
      <c r="C132" s="14" t="s">
        <v>220</v>
      </c>
      <c r="D132" s="14" t="s">
        <v>392</v>
      </c>
      <c r="E132" s="14" t="s">
        <v>438</v>
      </c>
      <c r="F132" s="117">
        <v>184</v>
      </c>
      <c r="G132" s="124">
        <f>Ohj.lask.[[#This Row],[Tavoitteelliset opiskelija-vuodet]]-Ohj.lask.[[#This Row],[Järjestämisluvan opisk.vuosien vähimmäismäärä]]</f>
        <v>15</v>
      </c>
      <c r="H132" s="41">
        <v>199</v>
      </c>
      <c r="I132" s="15">
        <f>IFERROR(VLOOKUP($A132,'2.1 Toteut. op.vuodet'!$A:$T,COLUMN('2.1 Toteut. op.vuodet'!T:T),FALSE),0)</f>
        <v>1.3859278452784358</v>
      </c>
      <c r="J132" s="81">
        <f t="shared" ref="J132:J154" si="4">IFERROR(ROUND(H132*I132,1),0)</f>
        <v>275.8</v>
      </c>
      <c r="K132" s="16">
        <f>IFERROR(Ohj.lask.[[#This Row],[Painotetut opiskelija-vuodet]]/Ohj.lask.[[#Totals],[Painotetut opiskelija-vuodet]],0)</f>
        <v>1.3468690909659178E-3</v>
      </c>
      <c r="L132" s="17">
        <f>ROUND(IFERROR('1.1 Jakotaulu'!L$11*Ohj.lask.[[#This Row],[%-osuus 1]],0),0)</f>
        <v>1696343</v>
      </c>
      <c r="M132" s="186">
        <f>IFERROR(ROUND(VLOOKUP($A132,'2.2 Tutk. ja osien pain. pist.'!$A:$Q,COLUMN('2.2 Tutk. ja osien pain. pist.'!P:P),FALSE),1),0)</f>
        <v>19861.3</v>
      </c>
      <c r="N132" s="16">
        <f>IFERROR(Ohj.lask.[[#This Row],[Painotetut pisteet 2]]/Ohj.lask.[[#Totals],[Painotetut pisteet 2]],0)</f>
        <v>1.2750171881738374E-3</v>
      </c>
      <c r="O132" s="23">
        <f>ROUND(IFERROR('1.1 Jakotaulu'!K$12*Ohj.lask.[[#This Row],[%-osuus 2]],0),0)</f>
        <v>468163</v>
      </c>
      <c r="P132" s="187">
        <f>IFERROR(ROUND(VLOOKUP($A132,'2.3 Työll. ja jatko-opisk.'!$A:$K,COLUMN('2.3 Työll. ja jatko-opisk.'!I:I),FALSE),1),0)</f>
        <v>163.80000000000001</v>
      </c>
      <c r="Q132" s="16">
        <f>IFERROR(Ohj.lask.[[#This Row],[Painotetut pisteet 3]]/Ohj.lask.[[#Totals],[Painotetut pisteet 3]],0)</f>
        <v>8.2302086845282662E-4</v>
      </c>
      <c r="R132" s="17">
        <f>ROUND(IFERROR('1.1 Jakotaulu'!L$14*Ohj.lask.[[#This Row],[%-osuus 3]],0),0)</f>
        <v>113324</v>
      </c>
      <c r="S132" s="186">
        <f>IFERROR(ROUND(VLOOKUP($A132,'2.4 Aloittaneet palaute'!$A:$K,COLUMN('2.4 Aloittaneet palaute'!J:J),FALSE),1),0)</f>
        <v>1947</v>
      </c>
      <c r="T132" s="20">
        <f>IFERROR(Ohj.lask.[[#This Row],[Painotetut pisteet 4]]/Ohj.lask.[[#Totals],[Painotetut pisteet 4]],0)</f>
        <v>1.182828393592071E-3</v>
      </c>
      <c r="U132" s="23">
        <f>ROUND(IFERROR('1.1 Jakotaulu'!M$16*Ohj.lask.[[#This Row],[%-osuus 4]],0),0)</f>
        <v>13572</v>
      </c>
      <c r="V132" s="81">
        <f>IFERROR(ROUND(VLOOKUP($A132,'2.5 Päättäneet palaute'!$A:$AC,COLUMN('2.5 Päättäneet palaute'!AB:AB),FALSE),1),0)</f>
        <v>9936.2000000000007</v>
      </c>
      <c r="W132" s="20">
        <f>IFERROR(Ohj.lask.[[#This Row],[Painotetut pisteet 5]]/Ohj.lask.[[#Totals],[Painotetut pisteet 5]],0)</f>
        <v>1.1525011322956519E-3</v>
      </c>
      <c r="X132" s="17">
        <f>ROUND(IFERROR('1.1 Jakotaulu'!M$17*Ohj.lask.[[#This Row],[%-osuus 5]],0),0)</f>
        <v>39673</v>
      </c>
      <c r="Y132" s="19">
        <f>IFERROR(Ohj.lask.[[#This Row],[Jaettava € 6]]/Ohj.lask.[[#Totals],[Jaettava € 6]],"")</f>
        <v>1.2877131416596777E-3</v>
      </c>
      <c r="Z132" s="23">
        <f>IFERROR(Ohj.lask.[[#This Row],[Jaettava € 1]]+Ohj.lask.[[#This Row],[Jaettava € 2]]+Ohj.lask.[[#This Row],[Jaettava € 3]]+Ohj.lask.[[#This Row],[Jaettava € 4]]+Ohj.lask.[[#This Row],[Jaettava € 5]],"")</f>
        <v>2331075</v>
      </c>
      <c r="AA132" s="17">
        <v>0</v>
      </c>
      <c r="AB132" s="17">
        <v>0</v>
      </c>
      <c r="AC132" s="18">
        <v>0</v>
      </c>
      <c r="AD132" s="17">
        <v>0</v>
      </c>
      <c r="AE132" s="18">
        <v>0</v>
      </c>
      <c r="AF132" s="17">
        <v>0</v>
      </c>
      <c r="AG132" s="18">
        <v>20000</v>
      </c>
      <c r="AH132" s="17">
        <v>0</v>
      </c>
      <c r="AI132" s="18">
        <v>0</v>
      </c>
      <c r="AJ132" s="17">
        <v>0</v>
      </c>
      <c r="AK132" s="18">
        <v>0</v>
      </c>
      <c r="AL132" s="17">
        <v>0</v>
      </c>
      <c r="AM132" s="18">
        <v>0</v>
      </c>
      <c r="AN132" s="23">
        <v>0</v>
      </c>
      <c r="AO132" s="17">
        <v>0</v>
      </c>
      <c r="AP132" s="17">
        <v>0</v>
      </c>
      <c r="AQ132" s="18">
        <f>IFERROR(VLOOKUP(Ohj.lask.[[#This Row],[Y-tunnus]],#REF!,COLUMN(#REF!),FALSE),0)</f>
        <v>0</v>
      </c>
      <c r="AR132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32" s="17">
        <f>Ohj.lask.[[#This Row],[Jaettava € 1]]+Ohj.lask.[[#This Row],[Päätös, € 9]]</f>
        <v>1696343</v>
      </c>
      <c r="AT132" s="113">
        <f>Ohj.lask.[[#This Row],[Jaettava € 2]]</f>
        <v>468163</v>
      </c>
      <c r="AU132" s="17">
        <f>Ohj.lask.[[#This Row],[Jaettava € 3]]+Ohj.lask.[[#This Row],[Jaettava € 4]]+Ohj.lask.[[#This Row],[Jaettava € 5]]</f>
        <v>166569</v>
      </c>
      <c r="AV132" s="42">
        <f>Ohj.lask.[[#This Row],[Jaettava € 6]]+Ohj.lask.[[#This Row],[Päätös, € 9]]</f>
        <v>2331075</v>
      </c>
      <c r="AW132" s="42">
        <v>143295</v>
      </c>
      <c r="AX132" s="23">
        <f>Ohj.lask.[[#This Row],[Perus-, suoritus- ja vaikuttavuusrahoitus yhteensä, €]]+Ohj.lask.[[#This Row],[Alv-korvaus, €]]</f>
        <v>2474370</v>
      </c>
    </row>
    <row r="133" spans="1:50" ht="12.75" x14ac:dyDescent="0.2">
      <c r="A133" s="134" t="s">
        <v>248</v>
      </c>
      <c r="B133" s="14" t="s">
        <v>169</v>
      </c>
      <c r="C133" s="14" t="s">
        <v>216</v>
      </c>
      <c r="D133" s="14" t="s">
        <v>392</v>
      </c>
      <c r="E133" s="14" t="s">
        <v>438</v>
      </c>
      <c r="F133" s="117">
        <v>35</v>
      </c>
      <c r="G133" s="124">
        <f>Ohj.lask.[[#This Row],[Tavoitteelliset opiskelija-vuodet]]-Ohj.lask.[[#This Row],[Järjestämisluvan opisk.vuosien vähimmäismäärä]]</f>
        <v>0</v>
      </c>
      <c r="H133" s="41">
        <v>35</v>
      </c>
      <c r="I133" s="15">
        <f>IFERROR(VLOOKUP($A133,'2.1 Toteut. op.vuodet'!$A:$T,COLUMN('2.1 Toteut. op.vuodet'!T:T),FALSE),0)</f>
        <v>0.76229999999999887</v>
      </c>
      <c r="J133" s="81">
        <f t="shared" si="4"/>
        <v>26.7</v>
      </c>
      <c r="K133" s="16">
        <f>IFERROR(Ohj.lask.[[#This Row],[Painotetut opiskelija-vuodet]]/Ohj.lask.[[#Totals],[Painotetut opiskelija-vuodet]],0)</f>
        <v>1.3038942976356056E-4</v>
      </c>
      <c r="L133" s="17">
        <f>ROUND(IFERROR('1.1 Jakotaulu'!L$11*Ohj.lask.[[#This Row],[%-osuus 1]],0),0)</f>
        <v>164222</v>
      </c>
      <c r="M133" s="186">
        <f>IFERROR(ROUND(VLOOKUP($A133,'2.2 Tutk. ja osien pain. pist.'!$A:$Q,COLUMN('2.2 Tutk. ja osien pain. pist.'!P:P),FALSE),1),0)</f>
        <v>3087.9</v>
      </c>
      <c r="N133" s="16">
        <f>IFERROR(Ohj.lask.[[#This Row],[Painotetut pisteet 2]]/Ohj.lask.[[#Totals],[Painotetut pisteet 2]],0)</f>
        <v>1.9823101082819318E-4</v>
      </c>
      <c r="O133" s="23">
        <f>ROUND(IFERROR('1.1 Jakotaulu'!K$12*Ohj.lask.[[#This Row],[%-osuus 2]],0),0)</f>
        <v>72787</v>
      </c>
      <c r="P133" s="187">
        <f>IFERROR(ROUND(VLOOKUP($A133,'2.3 Työll. ja jatko-opisk.'!$A:$K,COLUMN('2.3 Työll. ja jatko-opisk.'!I:I),FALSE),1),0)</f>
        <v>64.7</v>
      </c>
      <c r="Q133" s="16">
        <f>IFERROR(Ohj.lask.[[#This Row],[Painotetut pisteet 3]]/Ohj.lask.[[#Totals],[Painotetut pisteet 3]],0)</f>
        <v>3.2508821849144007E-4</v>
      </c>
      <c r="R133" s="17">
        <f>ROUND(IFERROR('1.1 Jakotaulu'!L$14*Ohj.lask.[[#This Row],[%-osuus 3]],0),0)</f>
        <v>44762</v>
      </c>
      <c r="S133" s="186">
        <f>IFERROR(ROUND(VLOOKUP($A133,'2.4 Aloittaneet palaute'!$A:$K,COLUMN('2.4 Aloittaneet palaute'!J:J),FALSE),1),0)</f>
        <v>0</v>
      </c>
      <c r="T133" s="20">
        <f>IFERROR(Ohj.lask.[[#This Row],[Painotetut pisteet 4]]/Ohj.lask.[[#Totals],[Painotetut pisteet 4]],0)</f>
        <v>0</v>
      </c>
      <c r="U133" s="23">
        <f>ROUND(IFERROR('1.1 Jakotaulu'!M$16*Ohj.lask.[[#This Row],[%-osuus 4]],0),0)</f>
        <v>0</v>
      </c>
      <c r="V133" s="81">
        <f>IFERROR(ROUND(VLOOKUP($A133,'2.5 Päättäneet palaute'!$A:$AC,COLUMN('2.5 Päättäneet palaute'!AB:AB),FALSE),1),0)</f>
        <v>0</v>
      </c>
      <c r="W133" s="20">
        <f>IFERROR(Ohj.lask.[[#This Row],[Painotetut pisteet 5]]/Ohj.lask.[[#Totals],[Painotetut pisteet 5]],0)</f>
        <v>0</v>
      </c>
      <c r="X133" s="17">
        <f>ROUND(IFERROR('1.1 Jakotaulu'!M$17*Ohj.lask.[[#This Row],[%-osuus 5]],0),0)</f>
        <v>0</v>
      </c>
      <c r="Y133" s="19">
        <f>IFERROR(Ohj.lask.[[#This Row],[Jaettava € 6]]/Ohj.lask.[[#Totals],[Jaettava € 6]],"")</f>
        <v>1.5565360172392097E-4</v>
      </c>
      <c r="Z133" s="23">
        <f>IFERROR(Ohj.lask.[[#This Row],[Jaettava € 1]]+Ohj.lask.[[#This Row],[Jaettava € 2]]+Ohj.lask.[[#This Row],[Jaettava € 3]]+Ohj.lask.[[#This Row],[Jaettava € 4]]+Ohj.lask.[[#This Row],[Jaettava € 5]],"")</f>
        <v>281771</v>
      </c>
      <c r="AA133" s="17">
        <v>0</v>
      </c>
      <c r="AB133" s="17">
        <v>0</v>
      </c>
      <c r="AC133" s="18">
        <v>0</v>
      </c>
      <c r="AD133" s="17">
        <v>0</v>
      </c>
      <c r="AE133" s="18">
        <v>0</v>
      </c>
      <c r="AF133" s="17">
        <v>0</v>
      </c>
      <c r="AG133" s="18">
        <v>0</v>
      </c>
      <c r="AH133" s="17">
        <v>0</v>
      </c>
      <c r="AI133" s="18">
        <v>0</v>
      </c>
      <c r="AJ133" s="17">
        <v>0</v>
      </c>
      <c r="AK133" s="18">
        <v>0</v>
      </c>
      <c r="AL133" s="17">
        <v>0</v>
      </c>
      <c r="AM133" s="18">
        <v>0</v>
      </c>
      <c r="AN133" s="23">
        <v>0</v>
      </c>
      <c r="AO133" s="17">
        <v>0</v>
      </c>
      <c r="AP133" s="17">
        <v>0</v>
      </c>
      <c r="AQ133" s="18">
        <f>IFERROR(VLOOKUP(Ohj.lask.[[#This Row],[Y-tunnus]],#REF!,COLUMN(#REF!),FALSE),0)</f>
        <v>0</v>
      </c>
      <c r="AR133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33" s="17">
        <f>Ohj.lask.[[#This Row],[Jaettava € 1]]+Ohj.lask.[[#This Row],[Päätös, € 9]]</f>
        <v>164222</v>
      </c>
      <c r="AT133" s="113">
        <f>Ohj.lask.[[#This Row],[Jaettava € 2]]</f>
        <v>72787</v>
      </c>
      <c r="AU133" s="17">
        <f>Ohj.lask.[[#This Row],[Jaettava € 3]]+Ohj.lask.[[#This Row],[Jaettava € 4]]+Ohj.lask.[[#This Row],[Jaettava € 5]]</f>
        <v>44762</v>
      </c>
      <c r="AV133" s="42">
        <f>Ohj.lask.[[#This Row],[Jaettava € 6]]+Ohj.lask.[[#This Row],[Päätös, € 9]]</f>
        <v>281771</v>
      </c>
      <c r="AW133" s="42">
        <v>483</v>
      </c>
      <c r="AX133" s="23">
        <f>Ohj.lask.[[#This Row],[Perus-, suoritus- ja vaikuttavuusrahoitus yhteensä, €]]+Ohj.lask.[[#This Row],[Alv-korvaus, €]]</f>
        <v>282254</v>
      </c>
    </row>
    <row r="134" spans="1:50" ht="12.75" x14ac:dyDescent="0.2">
      <c r="A134" s="134" t="s">
        <v>247</v>
      </c>
      <c r="B134" s="14" t="s">
        <v>129</v>
      </c>
      <c r="C134" s="14" t="s">
        <v>220</v>
      </c>
      <c r="D134" s="14" t="s">
        <v>392</v>
      </c>
      <c r="E134" s="14" t="s">
        <v>438</v>
      </c>
      <c r="F134" s="117">
        <v>0</v>
      </c>
      <c r="G134" s="124">
        <f>Ohj.lask.[[#This Row],[Tavoitteelliset opiskelija-vuodet]]-Ohj.lask.[[#This Row],[Järjestämisluvan opisk.vuosien vähimmäismäärä]]</f>
        <v>50</v>
      </c>
      <c r="H134" s="41">
        <v>50</v>
      </c>
      <c r="I134" s="15">
        <f>IFERROR(VLOOKUP($A134,'2.1 Toteut. op.vuodet'!$A:$T,COLUMN('2.1 Toteut. op.vuodet'!T:T),FALSE),0)</f>
        <v>1.0146823633940476</v>
      </c>
      <c r="J134" s="81">
        <f t="shared" si="4"/>
        <v>50.7</v>
      </c>
      <c r="K134" s="16">
        <f>IFERROR(Ohj.lask.[[#This Row],[Painotetut opiskelija-vuodet]]/Ohj.lask.[[#Totals],[Painotetut opiskelija-vuodet]],0)</f>
        <v>2.4759341157350265E-4</v>
      </c>
      <c r="L134" s="17">
        <f>ROUND(IFERROR('1.1 Jakotaulu'!L$11*Ohj.lask.[[#This Row],[%-osuus 1]],0),0)</f>
        <v>311837</v>
      </c>
      <c r="M134" s="186">
        <f>IFERROR(ROUND(VLOOKUP($A134,'2.2 Tutk. ja osien pain. pist.'!$A:$Q,COLUMN('2.2 Tutk. ja osien pain. pist.'!P:P),FALSE),1),0)</f>
        <v>5359.8</v>
      </c>
      <c r="N134" s="16">
        <f>IFERROR(Ohj.lask.[[#This Row],[Painotetut pisteet 2]]/Ohj.lask.[[#Totals],[Painotetut pisteet 2]],0)</f>
        <v>3.4407803744841145E-4</v>
      </c>
      <c r="O134" s="23">
        <f>ROUND(IFERROR('1.1 Jakotaulu'!K$12*Ohj.lask.[[#This Row],[%-osuus 2]],0),0)</f>
        <v>126339</v>
      </c>
      <c r="P134" s="187">
        <f>IFERROR(ROUND(VLOOKUP($A134,'2.3 Työll. ja jatko-opisk.'!$A:$K,COLUMN('2.3 Työll. ja jatko-opisk.'!I:I),FALSE),1),0)</f>
        <v>0</v>
      </c>
      <c r="Q134" s="16">
        <f>IFERROR(Ohj.lask.[[#This Row],[Painotetut pisteet 3]]/Ohj.lask.[[#Totals],[Painotetut pisteet 3]],0)</f>
        <v>0</v>
      </c>
      <c r="R134" s="17">
        <f>ROUND(IFERROR('1.1 Jakotaulu'!L$14*Ohj.lask.[[#This Row],[%-osuus 3]],0),0)</f>
        <v>0</v>
      </c>
      <c r="S134" s="186">
        <f>IFERROR(ROUND(VLOOKUP($A134,'2.4 Aloittaneet palaute'!$A:$K,COLUMN('2.4 Aloittaneet palaute'!J:J),FALSE),1),0)</f>
        <v>907.2</v>
      </c>
      <c r="T134" s="20">
        <f>IFERROR(Ohj.lask.[[#This Row],[Painotetut pisteet 4]]/Ohj.lask.[[#Totals],[Painotetut pisteet 4]],0)</f>
        <v>5.511360650573841E-4</v>
      </c>
      <c r="U134" s="23">
        <f>ROUND(IFERROR('1.1 Jakotaulu'!M$16*Ohj.lask.[[#This Row],[%-osuus 4]],0),0)</f>
        <v>6324</v>
      </c>
      <c r="V134" s="81">
        <f>IFERROR(ROUND(VLOOKUP($A134,'2.5 Päättäneet palaute'!$A:$AC,COLUMN('2.5 Päättäneet palaute'!AB:AB),FALSE),1),0)</f>
        <v>1913.6</v>
      </c>
      <c r="W134" s="20">
        <f>IFERROR(Ohj.lask.[[#This Row],[Painotetut pisteet 5]]/Ohj.lask.[[#Totals],[Painotetut pisteet 5]],0)</f>
        <v>2.2195871326673768E-4</v>
      </c>
      <c r="X134" s="17">
        <f>ROUND(IFERROR('1.1 Jakotaulu'!M$17*Ohj.lask.[[#This Row],[%-osuus 5]],0),0)</f>
        <v>7641</v>
      </c>
      <c r="Y134" s="19">
        <f>IFERROR(Ohj.lask.[[#This Row],[Jaettava € 6]]/Ohj.lask.[[#Totals],[Jaettava € 6]],"")</f>
        <v>2.4976798583621222E-4</v>
      </c>
      <c r="Z134" s="23">
        <f>IFERROR(Ohj.lask.[[#This Row],[Jaettava € 1]]+Ohj.lask.[[#This Row],[Jaettava € 2]]+Ohj.lask.[[#This Row],[Jaettava € 3]]+Ohj.lask.[[#This Row],[Jaettava € 4]]+Ohj.lask.[[#This Row],[Jaettava € 5]],"")</f>
        <v>452141</v>
      </c>
      <c r="AA134" s="17">
        <v>0</v>
      </c>
      <c r="AB134" s="17">
        <v>0</v>
      </c>
      <c r="AC134" s="18">
        <v>0</v>
      </c>
      <c r="AD134" s="17">
        <v>0</v>
      </c>
      <c r="AE134" s="18">
        <v>0</v>
      </c>
      <c r="AF134" s="17">
        <v>0</v>
      </c>
      <c r="AG134" s="18">
        <v>0</v>
      </c>
      <c r="AH134" s="17">
        <v>0</v>
      </c>
      <c r="AI134" s="18">
        <v>0</v>
      </c>
      <c r="AJ134" s="17">
        <v>0</v>
      </c>
      <c r="AK134" s="18">
        <v>0</v>
      </c>
      <c r="AL134" s="17">
        <v>0</v>
      </c>
      <c r="AM134" s="18">
        <v>20000</v>
      </c>
      <c r="AN134" s="23">
        <v>0</v>
      </c>
      <c r="AO134" s="17">
        <v>0</v>
      </c>
      <c r="AP134" s="17">
        <v>0</v>
      </c>
      <c r="AQ134" s="18">
        <f>IFERROR(VLOOKUP(Ohj.lask.[[#This Row],[Y-tunnus]],#REF!,COLUMN(#REF!),FALSE),0)</f>
        <v>0</v>
      </c>
      <c r="AR134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34" s="17">
        <f>Ohj.lask.[[#This Row],[Jaettava € 1]]+Ohj.lask.[[#This Row],[Päätös, € 9]]</f>
        <v>311837</v>
      </c>
      <c r="AT134" s="113">
        <f>Ohj.lask.[[#This Row],[Jaettava € 2]]</f>
        <v>126339</v>
      </c>
      <c r="AU134" s="17">
        <f>Ohj.lask.[[#This Row],[Jaettava € 3]]+Ohj.lask.[[#This Row],[Jaettava € 4]]+Ohj.lask.[[#This Row],[Jaettava € 5]]</f>
        <v>13965</v>
      </c>
      <c r="AV134" s="42">
        <f>Ohj.lask.[[#This Row],[Jaettava € 6]]+Ohj.lask.[[#This Row],[Päätös, € 9]]</f>
        <v>452141</v>
      </c>
      <c r="AW134" s="42">
        <v>38746</v>
      </c>
      <c r="AX134" s="23">
        <f>Ohj.lask.[[#This Row],[Perus-, suoritus- ja vaikuttavuusrahoitus yhteensä, €]]+Ohj.lask.[[#This Row],[Alv-korvaus, €]]</f>
        <v>490887</v>
      </c>
    </row>
    <row r="135" spans="1:50" ht="12.75" x14ac:dyDescent="0.2">
      <c r="A135" s="134" t="s">
        <v>245</v>
      </c>
      <c r="B135" s="14" t="s">
        <v>170</v>
      </c>
      <c r="C135" s="14" t="s">
        <v>216</v>
      </c>
      <c r="D135" s="14" t="s">
        <v>392</v>
      </c>
      <c r="E135" s="14" t="s">
        <v>438</v>
      </c>
      <c r="F135" s="117">
        <v>5</v>
      </c>
      <c r="G135" s="124">
        <f>Ohj.lask.[[#This Row],[Tavoitteelliset opiskelija-vuodet]]-Ohj.lask.[[#This Row],[Järjestämisluvan opisk.vuosien vähimmäismäärä]]</f>
        <v>0</v>
      </c>
      <c r="H135" s="41">
        <v>5</v>
      </c>
      <c r="I135" s="15">
        <f>IFERROR(VLOOKUP($A135,'2.1 Toteut. op.vuodet'!$A:$T,COLUMN('2.1 Toteut. op.vuodet'!T:T),FALSE),0)</f>
        <v>0.76230000000000009</v>
      </c>
      <c r="J135" s="81">
        <f t="shared" si="4"/>
        <v>3.8</v>
      </c>
      <c r="K135" s="16">
        <f>IFERROR(Ohj.lask.[[#This Row],[Painotetut opiskelija-vuodet]]/Ohj.lask.[[#Totals],[Painotetut opiskelija-vuodet]],0)</f>
        <v>1.8557297119907496E-5</v>
      </c>
      <c r="L135" s="17">
        <f>ROUND(IFERROR('1.1 Jakotaulu'!L$11*Ohj.lask.[[#This Row],[%-osuus 1]],0),0)</f>
        <v>23372</v>
      </c>
      <c r="M135" s="186">
        <f>IFERROR(ROUND(VLOOKUP($A135,'2.2 Tutk. ja osien pain. pist.'!$A:$Q,COLUMN('2.2 Tutk. ja osien pain. pist.'!P:P),FALSE),1),0)</f>
        <v>417</v>
      </c>
      <c r="N135" s="16">
        <f>IFERROR(Ohj.lask.[[#This Row],[Painotetut pisteet 2]]/Ohj.lask.[[#Totals],[Painotetut pisteet 2]],0)</f>
        <v>2.6769756635693045E-5</v>
      </c>
      <c r="O135" s="23">
        <f>ROUND(IFERROR('1.1 Jakotaulu'!K$12*Ohj.lask.[[#This Row],[%-osuus 2]],0),0)</f>
        <v>9829</v>
      </c>
      <c r="P135" s="187">
        <f>IFERROR(ROUND(VLOOKUP($A135,'2.3 Työll. ja jatko-opisk.'!$A:$K,COLUMN('2.3 Työll. ja jatko-opisk.'!I:I),FALSE),1),0)</f>
        <v>19.600000000000001</v>
      </c>
      <c r="Q135" s="16">
        <f>IFERROR(Ohj.lask.[[#This Row],[Painotetut pisteet 3]]/Ohj.lask.[[#Totals],[Painotetut pisteet 3]],0)</f>
        <v>9.8481129558457883E-5</v>
      </c>
      <c r="R135" s="17">
        <f>ROUND(IFERROR('1.1 Jakotaulu'!L$14*Ohj.lask.[[#This Row],[%-osuus 3]],0),0)</f>
        <v>13560</v>
      </c>
      <c r="S135" s="186">
        <f>IFERROR(ROUND(VLOOKUP($A135,'2.4 Aloittaneet palaute'!$A:$K,COLUMN('2.4 Aloittaneet palaute'!J:J),FALSE),1),0)</f>
        <v>0</v>
      </c>
      <c r="T135" s="20">
        <f>IFERROR(Ohj.lask.[[#This Row],[Painotetut pisteet 4]]/Ohj.lask.[[#Totals],[Painotetut pisteet 4]],0)</f>
        <v>0</v>
      </c>
      <c r="U135" s="23">
        <f>ROUND(IFERROR('1.1 Jakotaulu'!M$16*Ohj.lask.[[#This Row],[%-osuus 4]],0),0)</f>
        <v>0</v>
      </c>
      <c r="V135" s="81">
        <f>IFERROR(ROUND(VLOOKUP($A135,'2.5 Päättäneet palaute'!$A:$AC,COLUMN('2.5 Päättäneet palaute'!AB:AB),FALSE),1),0)</f>
        <v>935.4</v>
      </c>
      <c r="W135" s="20">
        <f>IFERROR(Ohj.lask.[[#This Row],[Painotetut pisteet 5]]/Ohj.lask.[[#Totals],[Painotetut pisteet 5]],0)</f>
        <v>1.0849716784579141E-4</v>
      </c>
      <c r="X135" s="17">
        <f>ROUND(IFERROR('1.1 Jakotaulu'!M$17*Ohj.lask.[[#This Row],[%-osuus 5]],0),0)</f>
        <v>3735</v>
      </c>
      <c r="Y135" s="19">
        <f>IFERROR(Ohj.lask.[[#This Row],[Jaettava € 6]]/Ohj.lask.[[#Totals],[Jaettava € 6]],"")</f>
        <v>2.7894582028140274E-5</v>
      </c>
      <c r="Z135" s="23">
        <f>IFERROR(Ohj.lask.[[#This Row],[Jaettava € 1]]+Ohj.lask.[[#This Row],[Jaettava € 2]]+Ohj.lask.[[#This Row],[Jaettava € 3]]+Ohj.lask.[[#This Row],[Jaettava € 4]]+Ohj.lask.[[#This Row],[Jaettava € 5]],"")</f>
        <v>50496</v>
      </c>
      <c r="AA135" s="17">
        <v>0</v>
      </c>
      <c r="AB135" s="17">
        <v>0</v>
      </c>
      <c r="AC135" s="18">
        <v>0</v>
      </c>
      <c r="AD135" s="17">
        <v>0</v>
      </c>
      <c r="AE135" s="18">
        <v>0</v>
      </c>
      <c r="AF135" s="17">
        <v>0</v>
      </c>
      <c r="AG135" s="18">
        <v>0</v>
      </c>
      <c r="AH135" s="17">
        <v>0</v>
      </c>
      <c r="AI135" s="18">
        <v>0</v>
      </c>
      <c r="AJ135" s="17">
        <v>0</v>
      </c>
      <c r="AK135" s="18">
        <v>0</v>
      </c>
      <c r="AL135" s="17">
        <v>0</v>
      </c>
      <c r="AM135" s="18">
        <v>0</v>
      </c>
      <c r="AN135" s="23">
        <v>0</v>
      </c>
      <c r="AO135" s="17">
        <v>0</v>
      </c>
      <c r="AP135" s="17">
        <v>0</v>
      </c>
      <c r="AQ135" s="18">
        <f>IFERROR(VLOOKUP(Ohj.lask.[[#This Row],[Y-tunnus]],#REF!,COLUMN(#REF!),FALSE),0)</f>
        <v>0</v>
      </c>
      <c r="AR135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35" s="17">
        <f>Ohj.lask.[[#This Row],[Jaettava € 1]]+Ohj.lask.[[#This Row],[Päätös, € 9]]</f>
        <v>23372</v>
      </c>
      <c r="AT135" s="113">
        <f>Ohj.lask.[[#This Row],[Jaettava € 2]]</f>
        <v>9829</v>
      </c>
      <c r="AU135" s="17">
        <f>Ohj.lask.[[#This Row],[Jaettava € 3]]+Ohj.lask.[[#This Row],[Jaettava € 4]]+Ohj.lask.[[#This Row],[Jaettava € 5]]</f>
        <v>17295</v>
      </c>
      <c r="AV135" s="42">
        <f>Ohj.lask.[[#This Row],[Jaettava € 6]]+Ohj.lask.[[#This Row],[Päätös, € 9]]</f>
        <v>50496</v>
      </c>
      <c r="AW135" s="42">
        <v>1106</v>
      </c>
      <c r="AX135" s="23">
        <f>Ohj.lask.[[#This Row],[Perus-, suoritus- ja vaikuttavuusrahoitus yhteensä, €]]+Ohj.lask.[[#This Row],[Alv-korvaus, €]]</f>
        <v>51602</v>
      </c>
    </row>
    <row r="136" spans="1:50" ht="12.75" x14ac:dyDescent="0.2">
      <c r="A136" s="134" t="s">
        <v>244</v>
      </c>
      <c r="B136" s="14" t="s">
        <v>130</v>
      </c>
      <c r="C136" s="14" t="s">
        <v>232</v>
      </c>
      <c r="D136" s="14" t="s">
        <v>392</v>
      </c>
      <c r="E136" s="14" t="s">
        <v>438</v>
      </c>
      <c r="F136" s="117">
        <v>610</v>
      </c>
      <c r="G136" s="124">
        <f>Ohj.lask.[[#This Row],[Tavoitteelliset opiskelija-vuodet]]-Ohj.lask.[[#This Row],[Järjestämisluvan opisk.vuosien vähimmäismäärä]]</f>
        <v>591</v>
      </c>
      <c r="H136" s="41">
        <v>1201</v>
      </c>
      <c r="I136" s="15">
        <f>IFERROR(VLOOKUP($A136,'2.1 Toteut. op.vuodet'!$A:$T,COLUMN('2.1 Toteut. op.vuodet'!T:T),FALSE),0)</f>
        <v>0.90219465540869759</v>
      </c>
      <c r="J136" s="81">
        <f t="shared" si="4"/>
        <v>1083.5</v>
      </c>
      <c r="K136" s="16">
        <f>IFERROR(Ohj.lask.[[#This Row],[Painotetut opiskelija-vuodet]]/Ohj.lask.[[#Totals],[Painotetut opiskelija-vuodet]],0)</f>
        <v>5.291271428794677E-3</v>
      </c>
      <c r="L136" s="17">
        <f>ROUND(IFERROR('1.1 Jakotaulu'!L$11*Ohj.lask.[[#This Row],[%-osuus 1]],0),0)</f>
        <v>6664203</v>
      </c>
      <c r="M136" s="186">
        <f>IFERROR(ROUND(VLOOKUP($A136,'2.2 Tutk. ja osien pain. pist.'!$A:$Q,COLUMN('2.2 Tutk. ja osien pain. pist.'!P:P),FALSE),1),0)</f>
        <v>98201.8</v>
      </c>
      <c r="N136" s="16">
        <f>IFERROR(Ohj.lask.[[#This Row],[Painotetut pisteet 2]]/Ohj.lask.[[#Totals],[Painotetut pisteet 2]],0)</f>
        <v>6.3041685544052784E-3</v>
      </c>
      <c r="O136" s="23">
        <f>ROUND(IFERROR('1.1 Jakotaulu'!K$12*Ohj.lask.[[#This Row],[%-osuus 2]],0),0)</f>
        <v>2314777</v>
      </c>
      <c r="P136" s="187">
        <f>IFERROR(ROUND(VLOOKUP($A136,'2.3 Työll. ja jatko-opisk.'!$A:$K,COLUMN('2.3 Työll. ja jatko-opisk.'!I:I),FALSE),1),0)</f>
        <v>1484.3</v>
      </c>
      <c r="Q136" s="16">
        <f>IFERROR(Ohj.lask.[[#This Row],[Painotetut pisteet 3]]/Ohj.lask.[[#Totals],[Painotetut pisteet 3]],0)</f>
        <v>7.457935745082603E-3</v>
      </c>
      <c r="R136" s="17">
        <f>ROUND(IFERROR('1.1 Jakotaulu'!L$14*Ohj.lask.[[#This Row],[%-osuus 3]],0),0)</f>
        <v>1026907</v>
      </c>
      <c r="S136" s="186">
        <f>IFERROR(ROUND(VLOOKUP($A136,'2.4 Aloittaneet palaute'!$A:$K,COLUMN('2.4 Aloittaneet palaute'!J:J),FALSE),1),0)</f>
        <v>16773.3</v>
      </c>
      <c r="T136" s="20">
        <f>IFERROR(Ohj.lask.[[#This Row],[Painotetut pisteet 4]]/Ohj.lask.[[#Totals],[Painotetut pisteet 4]],0)</f>
        <v>1.0190002821899273E-2</v>
      </c>
      <c r="U136" s="23">
        <f>ROUND(IFERROR('1.1 Jakotaulu'!M$16*Ohj.lask.[[#This Row],[%-osuus 4]],0),0)</f>
        <v>116925</v>
      </c>
      <c r="V136" s="81">
        <f>IFERROR(ROUND(VLOOKUP($A136,'2.5 Päättäneet palaute'!$A:$AC,COLUMN('2.5 Päättäneet palaute'!AB:AB),FALSE),1),0)</f>
        <v>78924.600000000006</v>
      </c>
      <c r="W136" s="20">
        <f>IFERROR(Ohj.lask.[[#This Row],[Painotetut pisteet 5]]/Ohj.lask.[[#Totals],[Painotetut pisteet 5]],0)</f>
        <v>9.1544746347679597E-3</v>
      </c>
      <c r="X136" s="17">
        <f>ROUND(IFERROR('1.1 Jakotaulu'!M$17*Ohj.lask.[[#This Row],[%-osuus 5]],0),0)</f>
        <v>315127</v>
      </c>
      <c r="Y136" s="19">
        <f>IFERROR(Ohj.lask.[[#This Row],[Jaettava € 6]]/Ohj.lask.[[#Totals],[Jaettava € 6]],"")</f>
        <v>5.7660397980082477E-3</v>
      </c>
      <c r="Z136" s="23">
        <f>IFERROR(Ohj.lask.[[#This Row],[Jaettava € 1]]+Ohj.lask.[[#This Row],[Jaettava € 2]]+Ohj.lask.[[#This Row],[Jaettava € 3]]+Ohj.lask.[[#This Row],[Jaettava € 4]]+Ohj.lask.[[#This Row],[Jaettava € 5]],"")</f>
        <v>10437939</v>
      </c>
      <c r="AA136" s="17">
        <v>250000</v>
      </c>
      <c r="AB136" s="17">
        <v>0</v>
      </c>
      <c r="AC136" s="18">
        <v>0</v>
      </c>
      <c r="AD136" s="17">
        <v>0</v>
      </c>
      <c r="AE136" s="18">
        <v>0</v>
      </c>
      <c r="AF136" s="17">
        <v>0</v>
      </c>
      <c r="AG136" s="18">
        <v>0</v>
      </c>
      <c r="AH136" s="17">
        <v>0</v>
      </c>
      <c r="AI136" s="18">
        <v>0</v>
      </c>
      <c r="AJ136" s="17">
        <v>170000</v>
      </c>
      <c r="AK136" s="18">
        <v>0</v>
      </c>
      <c r="AL136" s="17">
        <v>0</v>
      </c>
      <c r="AM136" s="18">
        <v>50000</v>
      </c>
      <c r="AN136" s="23">
        <v>0</v>
      </c>
      <c r="AO136" s="17">
        <v>0</v>
      </c>
      <c r="AP136" s="17">
        <v>0</v>
      </c>
      <c r="AQ136" s="18">
        <f>IFERROR(VLOOKUP(Ohj.lask.[[#This Row],[Y-tunnus]],#REF!,COLUMN(#REF!),FALSE),0)</f>
        <v>0</v>
      </c>
      <c r="AR136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170000</v>
      </c>
      <c r="AS136" s="17">
        <f>Ohj.lask.[[#This Row],[Jaettava € 1]]+Ohj.lask.[[#This Row],[Päätös, € 9]]</f>
        <v>6834203</v>
      </c>
      <c r="AT136" s="113">
        <f>Ohj.lask.[[#This Row],[Jaettava € 2]]</f>
        <v>2314777</v>
      </c>
      <c r="AU136" s="17">
        <f>Ohj.lask.[[#This Row],[Jaettava € 3]]+Ohj.lask.[[#This Row],[Jaettava € 4]]+Ohj.lask.[[#This Row],[Jaettava € 5]]</f>
        <v>1458959</v>
      </c>
      <c r="AV136" s="42">
        <f>Ohj.lask.[[#This Row],[Jaettava € 6]]+Ohj.lask.[[#This Row],[Päätös, € 9]]</f>
        <v>10607939</v>
      </c>
      <c r="AW136" s="42">
        <v>542560</v>
      </c>
      <c r="AX136" s="23">
        <f>Ohj.lask.[[#This Row],[Perus-, suoritus- ja vaikuttavuusrahoitus yhteensä, €]]+Ohj.lask.[[#This Row],[Alv-korvaus, €]]</f>
        <v>11150499</v>
      </c>
    </row>
    <row r="137" spans="1:50" ht="12.75" x14ac:dyDescent="0.2">
      <c r="A137" s="134" t="s">
        <v>243</v>
      </c>
      <c r="B137" s="14" t="s">
        <v>131</v>
      </c>
      <c r="C137" s="107" t="s">
        <v>232</v>
      </c>
      <c r="D137" s="107" t="s">
        <v>392</v>
      </c>
      <c r="E137" s="107" t="s">
        <v>438</v>
      </c>
      <c r="F137" s="116">
        <v>302</v>
      </c>
      <c r="G137" s="124">
        <f>Ohj.lask.[[#This Row],[Tavoitteelliset opiskelija-vuodet]]-Ohj.lask.[[#This Row],[Järjestämisluvan opisk.vuosien vähimmäismäärä]]</f>
        <v>40</v>
      </c>
      <c r="H137" s="17">
        <v>342</v>
      </c>
      <c r="I137" s="15">
        <f>IFERROR(VLOOKUP($A137,'2.1 Toteut. op.vuodet'!$A:$T,COLUMN('2.1 Toteut. op.vuodet'!T:T),FALSE),0)</f>
        <v>1.1431776271044323</v>
      </c>
      <c r="J137" s="81">
        <f t="shared" si="4"/>
        <v>391</v>
      </c>
      <c r="K137" s="16">
        <f>IFERROR(Ohj.lask.[[#This Row],[Painotetut opiskelija-vuodet]]/Ohj.lask.[[#Totals],[Painotetut opiskelija-vuodet]],0)</f>
        <v>1.9094482036536397E-3</v>
      </c>
      <c r="L137" s="17">
        <f>ROUND(IFERROR('1.1 Jakotaulu'!L$11*Ohj.lask.[[#This Row],[%-osuus 1]],0),0)</f>
        <v>2404895</v>
      </c>
      <c r="M137" s="186">
        <f>IFERROR(ROUND(VLOOKUP($A137,'2.2 Tutk. ja osien pain. pist.'!$A:$Q,COLUMN('2.2 Tutk. ja osien pain. pist.'!P:P),FALSE),1),0)</f>
        <v>23119</v>
      </c>
      <c r="N137" s="16">
        <f>IFERROR(Ohj.lask.[[#This Row],[Painotetut pisteet 2]]/Ohj.lask.[[#Totals],[Painotetut pisteet 2]],0)</f>
        <v>1.4841486898335432E-3</v>
      </c>
      <c r="O137" s="23">
        <f>ROUND(IFERROR('1.1 Jakotaulu'!K$12*Ohj.lask.[[#This Row],[%-osuus 2]],0),0)</f>
        <v>544953</v>
      </c>
      <c r="P137" s="187">
        <f>IFERROR(ROUND(VLOOKUP($A137,'2.3 Työll. ja jatko-opisk.'!$A:$K,COLUMN('2.3 Työll. ja jatko-opisk.'!I:I),FALSE),1),0)</f>
        <v>310.39999999999998</v>
      </c>
      <c r="Q137" s="20">
        <f>IFERROR(Ohj.lask.[[#This Row],[Painotetut pisteet 3]]/Ohj.lask.[[#Totals],[Painotetut pisteet 3]],0)</f>
        <v>1.5596195211706797E-3</v>
      </c>
      <c r="R137" s="17">
        <f>ROUND(IFERROR('1.1 Jakotaulu'!L$14*Ohj.lask.[[#This Row],[%-osuus 3]],0),0)</f>
        <v>214749</v>
      </c>
      <c r="S137" s="186">
        <f>IFERROR(ROUND(VLOOKUP($A137,'2.4 Aloittaneet palaute'!$A:$K,COLUMN('2.4 Aloittaneet palaute'!J:J),FALSE),1),0)</f>
        <v>3649.3</v>
      </c>
      <c r="T137" s="20">
        <f>IFERROR(Ohj.lask.[[#This Row],[Painotetut pisteet 4]]/Ohj.lask.[[#Totals],[Painotetut pisteet 4]],0)</f>
        <v>2.2169982828636596E-3</v>
      </c>
      <c r="U137" s="23">
        <f>ROUND(IFERROR('1.1 Jakotaulu'!M$16*Ohj.lask.[[#This Row],[%-osuus 4]],0),0)</f>
        <v>25439</v>
      </c>
      <c r="V137" s="81">
        <f>IFERROR(ROUND(VLOOKUP($A137,'2.5 Päättäneet palaute'!$A:$AC,COLUMN('2.5 Päättäneet palaute'!AB:AB),FALSE),1),0)</f>
        <v>9688.4</v>
      </c>
      <c r="W137" s="20">
        <f>IFERROR(Ohj.lask.[[#This Row],[Painotetut pisteet 5]]/Ohj.lask.[[#Totals],[Painotetut pisteet 5]],0)</f>
        <v>1.123758778017068E-3</v>
      </c>
      <c r="X137" s="17">
        <f>ROUND(IFERROR('1.1 Jakotaulu'!M$17*Ohj.lask.[[#This Row],[%-osuus 5]],0),0)</f>
        <v>38684</v>
      </c>
      <c r="Y137" s="19">
        <f>IFERROR(Ohj.lask.[[#This Row],[Jaettava € 6]]/Ohj.lask.[[#Totals],[Jaettava € 6]],"")</f>
        <v>1.7835827567707753E-3</v>
      </c>
      <c r="Z137" s="23">
        <f>IFERROR(Ohj.lask.[[#This Row],[Jaettava € 1]]+Ohj.lask.[[#This Row],[Jaettava € 2]]+Ohj.lask.[[#This Row],[Jaettava € 3]]+Ohj.lask.[[#This Row],[Jaettava € 4]]+Ohj.lask.[[#This Row],[Jaettava € 5]],"")</f>
        <v>3228720</v>
      </c>
      <c r="AA137" s="17">
        <v>0</v>
      </c>
      <c r="AB137" s="17">
        <v>0</v>
      </c>
      <c r="AC137" s="18">
        <v>0</v>
      </c>
      <c r="AD137" s="17">
        <v>0</v>
      </c>
      <c r="AE137" s="18">
        <v>0</v>
      </c>
      <c r="AF137" s="17">
        <v>0</v>
      </c>
      <c r="AG137" s="18">
        <v>0</v>
      </c>
      <c r="AH137" s="17">
        <v>0</v>
      </c>
      <c r="AI137" s="18">
        <v>0</v>
      </c>
      <c r="AJ137" s="17">
        <v>0</v>
      </c>
      <c r="AK137" s="18">
        <v>0</v>
      </c>
      <c r="AL137" s="17">
        <v>0</v>
      </c>
      <c r="AM137" s="18">
        <v>35000</v>
      </c>
      <c r="AN137" s="23">
        <v>30000</v>
      </c>
      <c r="AO137" s="17">
        <v>0</v>
      </c>
      <c r="AP137" s="17">
        <v>0</v>
      </c>
      <c r="AQ137" s="18">
        <f>IFERROR(VLOOKUP(Ohj.lask.[[#This Row],[Y-tunnus]],#REF!,COLUMN(#REF!),FALSE),0)</f>
        <v>0</v>
      </c>
      <c r="AR137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30000</v>
      </c>
      <c r="AS137" s="17">
        <f>Ohj.lask.[[#This Row],[Jaettava € 1]]+Ohj.lask.[[#This Row],[Päätös, € 9]]</f>
        <v>2434895</v>
      </c>
      <c r="AT137" s="113">
        <f>Ohj.lask.[[#This Row],[Jaettava € 2]]</f>
        <v>544953</v>
      </c>
      <c r="AU137" s="17">
        <f>Ohj.lask.[[#This Row],[Jaettava € 3]]+Ohj.lask.[[#This Row],[Jaettava € 4]]+Ohj.lask.[[#This Row],[Jaettava € 5]]</f>
        <v>278872</v>
      </c>
      <c r="AV137" s="42">
        <f>Ohj.lask.[[#This Row],[Jaettava € 6]]+Ohj.lask.[[#This Row],[Päätös, € 9]]</f>
        <v>3258720</v>
      </c>
      <c r="AW137" s="42">
        <v>149280</v>
      </c>
      <c r="AX137" s="23">
        <f>Ohj.lask.[[#This Row],[Perus-, suoritus- ja vaikuttavuusrahoitus yhteensä, €]]+Ohj.lask.[[#This Row],[Alv-korvaus, €]]</f>
        <v>3408000</v>
      </c>
    </row>
    <row r="138" spans="1:50" ht="12.75" x14ac:dyDescent="0.2">
      <c r="A138" s="134" t="s">
        <v>242</v>
      </c>
      <c r="B138" s="14" t="s">
        <v>132</v>
      </c>
      <c r="C138" s="107" t="s">
        <v>232</v>
      </c>
      <c r="D138" s="107" t="s">
        <v>393</v>
      </c>
      <c r="E138" s="107" t="s">
        <v>438</v>
      </c>
      <c r="F138" s="116">
        <v>4466</v>
      </c>
      <c r="G138" s="124">
        <f>Ohj.lask.[[#This Row],[Tavoitteelliset opiskelija-vuodet]]-Ohj.lask.[[#This Row],[Järjestämisluvan opisk.vuosien vähimmäismäärä]]</f>
        <v>650</v>
      </c>
      <c r="H138" s="41">
        <v>5116</v>
      </c>
      <c r="I138" s="15">
        <f>IFERROR(VLOOKUP($A138,'2.1 Toteut. op.vuodet'!$A:$T,COLUMN('2.1 Toteut. op.vuodet'!T:T),FALSE),0)</f>
        <v>0.97667090121898437</v>
      </c>
      <c r="J138" s="81">
        <f t="shared" si="4"/>
        <v>4996.6000000000004</v>
      </c>
      <c r="K138" s="16">
        <f>IFERROR(Ohj.lask.[[#This Row],[Painotetut opiskelija-vuodet]]/Ohj.lask.[[#Totals],[Painotetut opiskelija-vuodet]],0)</f>
        <v>2.4400892312981527E-2</v>
      </c>
      <c r="L138" s="17">
        <f>ROUND(IFERROR('1.1 Jakotaulu'!L$11*Ohj.lask.[[#This Row],[%-osuus 1]],0),0)</f>
        <v>30732216</v>
      </c>
      <c r="M138" s="186">
        <f>IFERROR(ROUND(VLOOKUP($A138,'2.2 Tutk. ja osien pain. pist.'!$A:$Q,COLUMN('2.2 Tutk. ja osien pain. pist.'!P:P),FALSE),1),0)</f>
        <v>443890.4</v>
      </c>
      <c r="N138" s="16">
        <f>IFERROR(Ohj.lask.[[#This Row],[Painotetut pisteet 2]]/Ohj.lask.[[#Totals],[Painotetut pisteet 2]],0)</f>
        <v>2.8496014342734868E-2</v>
      </c>
      <c r="O138" s="23">
        <f>ROUND(IFERROR('1.1 Jakotaulu'!K$12*Ohj.lask.[[#This Row],[%-osuus 2]],0),0)</f>
        <v>10463224</v>
      </c>
      <c r="P138" s="187">
        <f>IFERROR(ROUND(VLOOKUP($A138,'2.3 Työll. ja jatko-opisk.'!$A:$K,COLUMN('2.3 Työll. ja jatko-opisk.'!I:I),FALSE),1),0)</f>
        <v>5588.8</v>
      </c>
      <c r="Q138" s="20">
        <f>IFERROR(Ohj.lask.[[#This Row],[Painotetut pisteet 3]]/Ohj.lask.[[#Totals],[Painotetut pisteet 3]],0)</f>
        <v>2.8081190656954563E-2</v>
      </c>
      <c r="R138" s="17">
        <f>ROUND(IFERROR('1.1 Jakotaulu'!L$14*Ohj.lask.[[#This Row],[%-osuus 3]],0),0)</f>
        <v>3866590</v>
      </c>
      <c r="S138" s="186">
        <f>IFERROR(ROUND(VLOOKUP($A138,'2.4 Aloittaneet palaute'!$A:$K,COLUMN('2.4 Aloittaneet palaute'!J:J),FALSE),1),0)</f>
        <v>38901</v>
      </c>
      <c r="T138" s="20">
        <f>IFERROR(Ohj.lask.[[#This Row],[Painotetut pisteet 4]]/Ohj.lask.[[#Totals],[Painotetut pisteet 4]],0)</f>
        <v>2.3632874853171625E-2</v>
      </c>
      <c r="U138" s="23">
        <f>ROUND(IFERROR('1.1 Jakotaulu'!M$16*Ohj.lask.[[#This Row],[%-osuus 4]],0),0)</f>
        <v>271174</v>
      </c>
      <c r="V138" s="81">
        <f>IFERROR(ROUND(VLOOKUP($A138,'2.5 Päättäneet palaute'!$A:$AC,COLUMN('2.5 Päättäneet palaute'!AB:AB),FALSE),1),0)</f>
        <v>211967.7</v>
      </c>
      <c r="W138" s="20">
        <f>IFERROR(Ohj.lask.[[#This Row],[Painotetut pisteet 5]]/Ohj.lask.[[#Totals],[Painotetut pisteet 5]],0)</f>
        <v>2.4586161134045714E-2</v>
      </c>
      <c r="X138" s="17">
        <f>ROUND(IFERROR('1.1 Jakotaulu'!M$17*Ohj.lask.[[#This Row],[%-osuus 5]],0),0)</f>
        <v>846337</v>
      </c>
      <c r="Y138" s="19">
        <f>IFERROR(Ohj.lask.[[#This Row],[Jaettava € 6]]/Ohj.lask.[[#Totals],[Jaettava € 6]],"")</f>
        <v>2.5510119503453083E-2</v>
      </c>
      <c r="Z138" s="23">
        <f>IFERROR(Ohj.lask.[[#This Row],[Jaettava € 1]]+Ohj.lask.[[#This Row],[Jaettava € 2]]+Ohj.lask.[[#This Row],[Jaettava € 3]]+Ohj.lask.[[#This Row],[Jaettava € 4]]+Ohj.lask.[[#This Row],[Jaettava € 5]],"")</f>
        <v>46179541</v>
      </c>
      <c r="AA138" s="17">
        <v>0</v>
      </c>
      <c r="AB138" s="17">
        <v>0</v>
      </c>
      <c r="AC138" s="18">
        <v>0</v>
      </c>
      <c r="AD138" s="17">
        <v>0</v>
      </c>
      <c r="AE138" s="18">
        <v>0</v>
      </c>
      <c r="AF138" s="17">
        <v>0</v>
      </c>
      <c r="AG138" s="18">
        <v>0</v>
      </c>
      <c r="AH138" s="17">
        <v>0</v>
      </c>
      <c r="AI138" s="18">
        <v>0</v>
      </c>
      <c r="AJ138" s="17">
        <v>0</v>
      </c>
      <c r="AK138" s="18">
        <v>0</v>
      </c>
      <c r="AL138" s="17">
        <v>0</v>
      </c>
      <c r="AM138" s="18">
        <v>60000</v>
      </c>
      <c r="AN138" s="23">
        <v>0</v>
      </c>
      <c r="AO138" s="17">
        <v>80000</v>
      </c>
      <c r="AP138" s="17">
        <v>32000</v>
      </c>
      <c r="AQ138" s="18">
        <f>IFERROR(VLOOKUP(Ohj.lask.[[#This Row],[Y-tunnus]],#REF!,COLUMN(#REF!),FALSE),0)</f>
        <v>0</v>
      </c>
      <c r="AR138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32000</v>
      </c>
      <c r="AS138" s="17">
        <f>Ohj.lask.[[#This Row],[Jaettava € 1]]+Ohj.lask.[[#This Row],[Päätös, € 9]]</f>
        <v>30764216</v>
      </c>
      <c r="AT138" s="113">
        <f>Ohj.lask.[[#This Row],[Jaettava € 2]]</f>
        <v>10463224</v>
      </c>
      <c r="AU138" s="17">
        <f>Ohj.lask.[[#This Row],[Jaettava € 3]]+Ohj.lask.[[#This Row],[Jaettava € 4]]+Ohj.lask.[[#This Row],[Jaettava € 5]]</f>
        <v>4984101</v>
      </c>
      <c r="AV138" s="42">
        <f>Ohj.lask.[[#This Row],[Jaettava € 6]]+Ohj.lask.[[#This Row],[Päätös, € 9]]</f>
        <v>46211541</v>
      </c>
      <c r="AW138" s="42">
        <v>0</v>
      </c>
      <c r="AX138" s="23">
        <f>Ohj.lask.[[#This Row],[Perus-, suoritus- ja vaikuttavuusrahoitus yhteensä, €]]+Ohj.lask.[[#This Row],[Alv-korvaus, €]]</f>
        <v>46211541</v>
      </c>
    </row>
    <row r="139" spans="1:50" ht="12.75" x14ac:dyDescent="0.2">
      <c r="A139" s="134" t="s">
        <v>241</v>
      </c>
      <c r="B139" s="14" t="s">
        <v>134</v>
      </c>
      <c r="C139" s="14" t="s">
        <v>232</v>
      </c>
      <c r="D139" s="14" t="s">
        <v>392</v>
      </c>
      <c r="E139" s="14" t="s">
        <v>438</v>
      </c>
      <c r="F139" s="117">
        <v>218</v>
      </c>
      <c r="G139" s="124">
        <f>Ohj.lask.[[#This Row],[Tavoitteelliset opiskelija-vuodet]]-Ohj.lask.[[#This Row],[Järjestämisluvan opisk.vuosien vähimmäismäärä]]</f>
        <v>19</v>
      </c>
      <c r="H139" s="41">
        <v>237</v>
      </c>
      <c r="I139" s="15">
        <f>IFERROR(VLOOKUP($A139,'2.1 Toteut. op.vuodet'!$A:$T,COLUMN('2.1 Toteut. op.vuodet'!T:T),FALSE),0)</f>
        <v>0.99344885167019104</v>
      </c>
      <c r="J139" s="81">
        <f t="shared" si="4"/>
        <v>235.4</v>
      </c>
      <c r="K139" s="16">
        <f>IFERROR(Ohj.lask.[[#This Row],[Painotetut opiskelija-vuodet]]/Ohj.lask.[[#Totals],[Painotetut opiskelija-vuodet]],0)</f>
        <v>1.1495757215858487E-3</v>
      </c>
      <c r="L139" s="17">
        <f>ROUND(IFERROR('1.1 Jakotaulu'!L$11*Ohj.lask.[[#This Row],[%-osuus 1]],0),0)</f>
        <v>1447857</v>
      </c>
      <c r="M139" s="186">
        <f>IFERROR(ROUND(VLOOKUP($A139,'2.2 Tutk. ja osien pain. pist.'!$A:$Q,COLUMN('2.2 Tutk. ja osien pain. pist.'!P:P),FALSE),1),0)</f>
        <v>18337.599999999999</v>
      </c>
      <c r="N139" s="16">
        <f>IFERROR(Ohj.lask.[[#This Row],[Painotetut pisteet 2]]/Ohj.lask.[[#Totals],[Painotetut pisteet 2]],0)</f>
        <v>1.1772016529560784E-3</v>
      </c>
      <c r="O139" s="23">
        <f>ROUND(IFERROR('1.1 Jakotaulu'!K$12*Ohj.lask.[[#This Row],[%-osuus 2]],0),0)</f>
        <v>432247</v>
      </c>
      <c r="P139" s="187">
        <f>IFERROR(ROUND(VLOOKUP($A139,'2.3 Työll. ja jatko-opisk.'!$A:$K,COLUMN('2.3 Työll. ja jatko-opisk.'!I:I),FALSE),1),0)</f>
        <v>272.8</v>
      </c>
      <c r="Q139" s="16">
        <f>IFERROR(Ohj.lask.[[#This Row],[Painotetut pisteet 3]]/Ohj.lask.[[#Totals],[Painotetut pisteet 3]],0)</f>
        <v>1.3706965379360872E-3</v>
      </c>
      <c r="R139" s="17">
        <f>ROUND(IFERROR('1.1 Jakotaulu'!L$14*Ohj.lask.[[#This Row],[%-osuus 3]],0),0)</f>
        <v>188736</v>
      </c>
      <c r="S139" s="186">
        <f>IFERROR(ROUND(VLOOKUP($A139,'2.4 Aloittaneet palaute'!$A:$K,COLUMN('2.4 Aloittaneet palaute'!J:J),FALSE),1),0)</f>
        <v>2322.1</v>
      </c>
      <c r="T139" s="20">
        <f>IFERROR(Ohj.lask.[[#This Row],[Painotetut pisteet 4]]/Ohj.lask.[[#Totals],[Painotetut pisteet 4]],0)</f>
        <v>1.4107066321315605E-3</v>
      </c>
      <c r="U139" s="23">
        <f>ROUND(IFERROR('1.1 Jakotaulu'!M$16*Ohj.lask.[[#This Row],[%-osuus 4]],0),0)</f>
        <v>16187</v>
      </c>
      <c r="V139" s="81">
        <f>IFERROR(ROUND(VLOOKUP($A139,'2.5 Päättäneet palaute'!$A:$AC,COLUMN('2.5 Päättäneet palaute'!AB:AB),FALSE),1),0)</f>
        <v>13487</v>
      </c>
      <c r="W139" s="20">
        <f>IFERROR(Ohj.lask.[[#This Row],[Painotetut pisteet 5]]/Ohj.lask.[[#Totals],[Painotetut pisteet 5]],0)</f>
        <v>1.5643588868250896E-3</v>
      </c>
      <c r="X139" s="17">
        <f>ROUND(IFERROR('1.1 Jakotaulu'!M$17*Ohj.lask.[[#This Row],[%-osuus 5]],0),0)</f>
        <v>53850</v>
      </c>
      <c r="Y139" s="19">
        <f>IFERROR(Ohj.lask.[[#This Row],[Jaettava € 6]]/Ohj.lask.[[#Totals],[Jaettava € 6]],"")</f>
        <v>1.1815407146031881E-3</v>
      </c>
      <c r="Z139" s="23">
        <f>IFERROR(Ohj.lask.[[#This Row],[Jaettava € 1]]+Ohj.lask.[[#This Row],[Jaettava € 2]]+Ohj.lask.[[#This Row],[Jaettava € 3]]+Ohj.lask.[[#This Row],[Jaettava € 4]]+Ohj.lask.[[#This Row],[Jaettava € 5]],"")</f>
        <v>2138877</v>
      </c>
      <c r="AA139" s="17">
        <v>0</v>
      </c>
      <c r="AB139" s="17">
        <v>0</v>
      </c>
      <c r="AC139" s="18">
        <v>0</v>
      </c>
      <c r="AD139" s="17">
        <v>0</v>
      </c>
      <c r="AE139" s="18">
        <v>0</v>
      </c>
      <c r="AF139" s="17">
        <v>0</v>
      </c>
      <c r="AG139" s="18">
        <v>0</v>
      </c>
      <c r="AH139" s="17">
        <v>0</v>
      </c>
      <c r="AI139" s="18">
        <v>0</v>
      </c>
      <c r="AJ139" s="17">
        <v>0</v>
      </c>
      <c r="AK139" s="18">
        <v>0</v>
      </c>
      <c r="AL139" s="17">
        <v>0</v>
      </c>
      <c r="AM139" s="18">
        <v>0</v>
      </c>
      <c r="AN139" s="23">
        <v>0</v>
      </c>
      <c r="AO139" s="17">
        <v>0</v>
      </c>
      <c r="AP139" s="17">
        <v>0</v>
      </c>
      <c r="AQ139" s="18">
        <f>IFERROR(VLOOKUP(Ohj.lask.[[#This Row],[Y-tunnus]],#REF!,COLUMN(#REF!),FALSE),0)</f>
        <v>0</v>
      </c>
      <c r="AR139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39" s="17">
        <f>Ohj.lask.[[#This Row],[Jaettava € 1]]+Ohj.lask.[[#This Row],[Päätös, € 9]]</f>
        <v>1447857</v>
      </c>
      <c r="AT139" s="113">
        <f>Ohj.lask.[[#This Row],[Jaettava € 2]]</f>
        <v>432247</v>
      </c>
      <c r="AU139" s="17">
        <f>Ohj.lask.[[#This Row],[Jaettava € 3]]+Ohj.lask.[[#This Row],[Jaettava € 4]]+Ohj.lask.[[#This Row],[Jaettava € 5]]</f>
        <v>258773</v>
      </c>
      <c r="AV139" s="42">
        <f>Ohj.lask.[[#This Row],[Jaettava € 6]]+Ohj.lask.[[#This Row],[Päätös, € 9]]</f>
        <v>2138877</v>
      </c>
      <c r="AW139" s="42">
        <v>114803</v>
      </c>
      <c r="AX139" s="23">
        <f>Ohj.lask.[[#This Row],[Perus-, suoritus- ja vaikuttavuusrahoitus yhteensä, €]]+Ohj.lask.[[#This Row],[Alv-korvaus, €]]</f>
        <v>2253680</v>
      </c>
    </row>
    <row r="140" spans="1:50" ht="12.75" x14ac:dyDescent="0.2">
      <c r="A140" s="134" t="s">
        <v>446</v>
      </c>
      <c r="B140" s="14" t="s">
        <v>447</v>
      </c>
      <c r="C140" s="107" t="s">
        <v>232</v>
      </c>
      <c r="D140" s="107" t="s">
        <v>392</v>
      </c>
      <c r="E140" s="107" t="s">
        <v>438</v>
      </c>
      <c r="F140" s="116">
        <v>79</v>
      </c>
      <c r="G140" s="124">
        <f>Ohj.lask.[[#This Row],[Tavoitteelliset opiskelija-vuodet]]-Ohj.lask.[[#This Row],[Järjestämisluvan opisk.vuosien vähimmäismäärä]]</f>
        <v>5</v>
      </c>
      <c r="H140" s="41">
        <v>84</v>
      </c>
      <c r="I140" s="15">
        <f>IFERROR(VLOOKUP($A140,'2.1 Toteut. op.vuodet'!$A:$T,COLUMN('2.1 Toteut. op.vuodet'!T:T),FALSE),0)</f>
        <v>1.5512151359160138</v>
      </c>
      <c r="J140" s="81">
        <f t="shared" si="4"/>
        <v>130.30000000000001</v>
      </c>
      <c r="K140" s="16">
        <f>IFERROR(Ohj.lask.[[#This Row],[Painotetut opiskelija-vuodet]]/Ohj.lask.[[#Totals],[Painotetut opiskelija-vuodet]],0)</f>
        <v>6.3631995124314392E-4</v>
      </c>
      <c r="L140" s="17">
        <f>ROUND(IFERROR('1.1 Jakotaulu'!L$11*Ohj.lask.[[#This Row],[%-osuus 1]],0),0)</f>
        <v>801427</v>
      </c>
      <c r="M140" s="186">
        <f>IFERROR(ROUND(VLOOKUP($A140,'2.2 Tutk. ja osien pain. pist.'!$A:$Q,COLUMN('2.2 Tutk. ja osien pain. pist.'!P:P),FALSE),1),0)</f>
        <v>16921.900000000001</v>
      </c>
      <c r="N140" s="16">
        <f>IFERROR(Ohj.lask.[[#This Row],[Painotetut pisteet 2]]/Ohj.lask.[[#Totals],[Painotetut pisteet 2]],0)</f>
        <v>1.0863192921187869E-3</v>
      </c>
      <c r="O140" s="23">
        <f>ROUND(IFERROR('1.1 Jakotaulu'!K$12*Ohj.lask.[[#This Row],[%-osuus 2]],0),0)</f>
        <v>398877</v>
      </c>
      <c r="P140" s="187">
        <f>IFERROR(ROUND(VLOOKUP($A140,'2.3 Työll. ja jatko-opisk.'!$A:$K,COLUMN('2.3 Työll. ja jatko-opisk.'!I:I),FALSE),1),0)</f>
        <v>155.9</v>
      </c>
      <c r="Q140" s="20">
        <f>IFERROR(Ohj.lask.[[#This Row],[Painotetut pisteet 3]]/Ohj.lask.[[#Totals],[Painotetut pisteet 3]],0)</f>
        <v>7.8332694378385628E-4</v>
      </c>
      <c r="R140" s="17">
        <f>ROUND(IFERROR('1.1 Jakotaulu'!L$14*Ohj.lask.[[#This Row],[%-osuus 3]],0),0)</f>
        <v>107859</v>
      </c>
      <c r="S140" s="186">
        <f>IFERROR(ROUND(VLOOKUP($A140,'2.4 Aloittaneet palaute'!$A:$K,COLUMN('2.4 Aloittaneet palaute'!J:J),FALSE),1),0)</f>
        <v>829.7</v>
      </c>
      <c r="T140" s="20">
        <f>IFERROR(Ohj.lask.[[#This Row],[Painotetut pisteet 4]]/Ohj.lask.[[#Totals],[Painotetut pisteet 4]],0)</f>
        <v>5.0405378436740704E-4</v>
      </c>
      <c r="U140" s="23">
        <f>ROUND(IFERROR('1.1 Jakotaulu'!M$16*Ohj.lask.[[#This Row],[%-osuus 4]],0),0)</f>
        <v>5784</v>
      </c>
      <c r="V140" s="81">
        <f>IFERROR(ROUND(VLOOKUP($A140,'2.5 Päättäneet palaute'!$A:$AC,COLUMN('2.5 Päättäneet palaute'!AB:AB),FALSE),1),0)</f>
        <v>7373.5</v>
      </c>
      <c r="W140" s="20">
        <f>IFERROR(Ohj.lask.[[#This Row],[Painotetut pisteet 5]]/Ohj.lask.[[#Totals],[Painotetut pisteet 5]],0)</f>
        <v>8.5525322547674041E-4</v>
      </c>
      <c r="X140" s="17">
        <f>ROUND(IFERROR('1.1 Jakotaulu'!M$17*Ohj.lask.[[#This Row],[%-osuus 5]],0),0)</f>
        <v>29441</v>
      </c>
      <c r="Y140" s="19">
        <f>IFERROR(Ohj.lask.[[#This Row],[Jaettava € 6]]/Ohj.lask.[[#Totals],[Jaettava € 6]],"")</f>
        <v>7.4210327078618713E-4</v>
      </c>
      <c r="Z140" s="23">
        <f>IFERROR(Ohj.lask.[[#This Row],[Jaettava € 1]]+Ohj.lask.[[#This Row],[Jaettava € 2]]+Ohj.lask.[[#This Row],[Jaettava € 3]]+Ohj.lask.[[#This Row],[Jaettava € 4]]+Ohj.lask.[[#This Row],[Jaettava € 5]],"")</f>
        <v>1343388</v>
      </c>
      <c r="AA140" s="17">
        <v>0</v>
      </c>
      <c r="AB140" s="17">
        <v>0</v>
      </c>
      <c r="AC140" s="18">
        <v>0</v>
      </c>
      <c r="AD140" s="17">
        <v>0</v>
      </c>
      <c r="AE140" s="18">
        <v>0</v>
      </c>
      <c r="AF140" s="17">
        <v>0</v>
      </c>
      <c r="AG140" s="18">
        <v>50000</v>
      </c>
      <c r="AH140" s="17">
        <v>0</v>
      </c>
      <c r="AI140" s="18">
        <v>0</v>
      </c>
      <c r="AJ140" s="17">
        <v>0</v>
      </c>
      <c r="AK140" s="18">
        <v>0</v>
      </c>
      <c r="AL140" s="17">
        <v>0</v>
      </c>
      <c r="AM140" s="18">
        <v>24000</v>
      </c>
      <c r="AN140" s="23">
        <v>0</v>
      </c>
      <c r="AO140" s="17">
        <v>0</v>
      </c>
      <c r="AP140" s="17">
        <v>0</v>
      </c>
      <c r="AQ140" s="18">
        <f>IFERROR(VLOOKUP(Ohj.lask.[[#This Row],[Y-tunnus]],#REF!,COLUMN(#REF!),FALSE),0)</f>
        <v>0</v>
      </c>
      <c r="AR140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40" s="17">
        <f>Ohj.lask.[[#This Row],[Jaettava € 1]]+Ohj.lask.[[#This Row],[Päätös, € 9]]</f>
        <v>801427</v>
      </c>
      <c r="AT140" s="113">
        <f>Ohj.lask.[[#This Row],[Jaettava € 2]]</f>
        <v>398877</v>
      </c>
      <c r="AU140" s="17">
        <f>Ohj.lask.[[#This Row],[Jaettava € 3]]+Ohj.lask.[[#This Row],[Jaettava € 4]]+Ohj.lask.[[#This Row],[Jaettava € 5]]</f>
        <v>143084</v>
      </c>
      <c r="AV140" s="42">
        <f>Ohj.lask.[[#This Row],[Jaettava € 6]]+Ohj.lask.[[#This Row],[Päätös, € 9]]</f>
        <v>1343388</v>
      </c>
      <c r="AW140" s="42">
        <v>24519</v>
      </c>
      <c r="AX140" s="23">
        <f>Ohj.lask.[[#This Row],[Perus-, suoritus- ja vaikuttavuusrahoitus yhteensä, €]]+Ohj.lask.[[#This Row],[Alv-korvaus, €]]</f>
        <v>1367907</v>
      </c>
    </row>
    <row r="141" spans="1:50" ht="12.75" x14ac:dyDescent="0.2">
      <c r="A141" s="134" t="s">
        <v>308</v>
      </c>
      <c r="B141" s="14" t="s">
        <v>149</v>
      </c>
      <c r="C141" s="14" t="s">
        <v>232</v>
      </c>
      <c r="D141" s="14" t="s">
        <v>392</v>
      </c>
      <c r="E141" s="14" t="s">
        <v>438</v>
      </c>
      <c r="F141" s="117">
        <v>28</v>
      </c>
      <c r="G141" s="124">
        <f>Ohj.lask.[[#This Row],[Tavoitteelliset opiskelija-vuodet]]-Ohj.lask.[[#This Row],[Järjestämisluvan opisk.vuosien vähimmäismäärä]]</f>
        <v>0</v>
      </c>
      <c r="H141" s="41">
        <v>28</v>
      </c>
      <c r="I141" s="15">
        <f>IFERROR(VLOOKUP($A141,'2.1 Toteut. op.vuodet'!$A:$T,COLUMN('2.1 Toteut. op.vuodet'!T:T),FALSE),0)</f>
        <v>0.76229999999999987</v>
      </c>
      <c r="J141" s="81">
        <f t="shared" si="4"/>
        <v>21.3</v>
      </c>
      <c r="K141" s="16">
        <f>IFERROR(Ohj.lask.[[#This Row],[Painotetut opiskelija-vuodet]]/Ohj.lask.[[#Totals],[Painotetut opiskelija-vuodet]],0)</f>
        <v>1.040185338563236E-4</v>
      </c>
      <c r="L141" s="17">
        <f>ROUND(IFERROR('1.1 Jakotaulu'!L$11*Ohj.lask.[[#This Row],[%-osuus 1]],0),0)</f>
        <v>131008</v>
      </c>
      <c r="M141" s="186">
        <f>IFERROR(ROUND(VLOOKUP($A141,'2.2 Tutk. ja osien pain. pist.'!$A:$Q,COLUMN('2.2 Tutk. ja osien pain. pist.'!P:P),FALSE),1),0)</f>
        <v>2843.4</v>
      </c>
      <c r="N141" s="16">
        <f>IFERROR(Ohj.lask.[[#This Row],[Painotetut pisteet 2]]/Ohj.lask.[[#Totals],[Painotetut pisteet 2]],0)</f>
        <v>1.8253507438352424E-4</v>
      </c>
      <c r="O141" s="23">
        <f>ROUND(IFERROR('1.1 Jakotaulu'!K$12*Ohj.lask.[[#This Row],[%-osuus 2]],0),0)</f>
        <v>67024</v>
      </c>
      <c r="P141" s="187">
        <f>IFERROR(ROUND(VLOOKUP($A141,'2.3 Työll. ja jatko-opisk.'!$A:$K,COLUMN('2.3 Työll. ja jatko-opisk.'!I:I),FALSE),1),0)</f>
        <v>64.099999999999994</v>
      </c>
      <c r="Q141" s="16">
        <f>IFERROR(Ohj.lask.[[#This Row],[Painotetut pisteet 3]]/Ohj.lask.[[#Totals],[Painotetut pisteet 3]],0)</f>
        <v>3.2207349003556885E-4</v>
      </c>
      <c r="R141" s="17">
        <f>ROUND(IFERROR('1.1 Jakotaulu'!L$14*Ohj.lask.[[#This Row],[%-osuus 3]],0),0)</f>
        <v>44347</v>
      </c>
      <c r="S141" s="186">
        <f>IFERROR(ROUND(VLOOKUP($A141,'2.4 Aloittaneet palaute'!$A:$K,COLUMN('2.4 Aloittaneet palaute'!J:J),FALSE),1),0)</f>
        <v>522.9</v>
      </c>
      <c r="T141" s="20">
        <f>IFERROR(Ohj.lask.[[#This Row],[Painotetut pisteet 4]]/Ohj.lask.[[#Totals],[Painotetut pisteet 4]],0)</f>
        <v>3.1766870416501998E-4</v>
      </c>
      <c r="U141" s="23">
        <f>ROUND(IFERROR('1.1 Jakotaulu'!M$16*Ohj.lask.[[#This Row],[%-osuus 4]],0),0)</f>
        <v>3645</v>
      </c>
      <c r="V141" s="81">
        <f>IFERROR(ROUND(VLOOKUP($A141,'2.5 Päättäneet palaute'!$A:$AC,COLUMN('2.5 Päättäneet palaute'!AB:AB),FALSE),1),0)</f>
        <v>5099.7</v>
      </c>
      <c r="W141" s="20">
        <f>IFERROR(Ohj.lask.[[#This Row],[Painotetut pisteet 5]]/Ohj.lask.[[#Totals],[Painotetut pisteet 5]],0)</f>
        <v>5.915148672901245E-4</v>
      </c>
      <c r="X141" s="17">
        <f>ROUND(IFERROR('1.1 Jakotaulu'!M$17*Ohj.lask.[[#This Row],[%-osuus 5]],0),0)</f>
        <v>20362</v>
      </c>
      <c r="Y141" s="19">
        <f>IFERROR(Ohj.lask.[[#This Row],[Jaettava € 6]]/Ohj.lask.[[#Totals],[Jaettava € 6]],"")</f>
        <v>1.4715474746808014E-4</v>
      </c>
      <c r="Z141" s="23">
        <f>IFERROR(Ohj.lask.[[#This Row],[Jaettava € 1]]+Ohj.lask.[[#This Row],[Jaettava € 2]]+Ohj.lask.[[#This Row],[Jaettava € 3]]+Ohj.lask.[[#This Row],[Jaettava € 4]]+Ohj.lask.[[#This Row],[Jaettava € 5]],"")</f>
        <v>266386</v>
      </c>
      <c r="AA141" s="17">
        <v>0</v>
      </c>
      <c r="AB141" s="17">
        <v>0</v>
      </c>
      <c r="AC141" s="18">
        <v>0</v>
      </c>
      <c r="AD141" s="17">
        <v>0</v>
      </c>
      <c r="AE141" s="18">
        <v>0</v>
      </c>
      <c r="AF141" s="17">
        <v>0</v>
      </c>
      <c r="AG141" s="18">
        <v>0</v>
      </c>
      <c r="AH141" s="17">
        <v>0</v>
      </c>
      <c r="AI141" s="18">
        <v>0</v>
      </c>
      <c r="AJ141" s="17">
        <v>0</v>
      </c>
      <c r="AK141" s="18">
        <v>0</v>
      </c>
      <c r="AL141" s="17">
        <v>0</v>
      </c>
      <c r="AM141" s="18">
        <v>0</v>
      </c>
      <c r="AN141" s="23">
        <v>0</v>
      </c>
      <c r="AO141" s="17">
        <v>0</v>
      </c>
      <c r="AP141" s="17">
        <v>0</v>
      </c>
      <c r="AQ141" s="18">
        <f>IFERROR(VLOOKUP(Ohj.lask.[[#This Row],[Y-tunnus]],#REF!,COLUMN(#REF!),FALSE),0)</f>
        <v>0</v>
      </c>
      <c r="AR141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41" s="17">
        <f>Ohj.lask.[[#This Row],[Jaettava € 1]]+Ohj.lask.[[#This Row],[Päätös, € 9]]</f>
        <v>131008</v>
      </c>
      <c r="AT141" s="113">
        <f>Ohj.lask.[[#This Row],[Jaettava € 2]]</f>
        <v>67024</v>
      </c>
      <c r="AU141" s="17">
        <f>Ohj.lask.[[#This Row],[Jaettava € 3]]+Ohj.lask.[[#This Row],[Jaettava € 4]]+Ohj.lask.[[#This Row],[Jaettava € 5]]</f>
        <v>68354</v>
      </c>
      <c r="AV141" s="42">
        <f>Ohj.lask.[[#This Row],[Jaettava € 6]]+Ohj.lask.[[#This Row],[Päätös, € 9]]</f>
        <v>266386</v>
      </c>
      <c r="AW141" s="42">
        <v>10191</v>
      </c>
      <c r="AX141" s="23">
        <f>Ohj.lask.[[#This Row],[Perus-, suoritus- ja vaikuttavuusrahoitus yhteensä, €]]+Ohj.lask.[[#This Row],[Alv-korvaus, €]]</f>
        <v>276577</v>
      </c>
    </row>
    <row r="142" spans="1:50" ht="12.75" x14ac:dyDescent="0.2">
      <c r="A142" s="134" t="s">
        <v>240</v>
      </c>
      <c r="B142" s="14" t="s">
        <v>135</v>
      </c>
      <c r="C142" s="14" t="s">
        <v>216</v>
      </c>
      <c r="D142" s="14" t="s">
        <v>392</v>
      </c>
      <c r="E142" s="14" t="s">
        <v>438</v>
      </c>
      <c r="F142" s="117">
        <v>702</v>
      </c>
      <c r="G142" s="124">
        <f>Ohj.lask.[[#This Row],[Tavoitteelliset opiskelija-vuodet]]-Ohj.lask.[[#This Row],[Järjestämisluvan opisk.vuosien vähimmäismäärä]]</f>
        <v>629</v>
      </c>
      <c r="H142" s="41">
        <v>1331</v>
      </c>
      <c r="I142" s="15">
        <f>IFERROR(VLOOKUP($A142,'2.1 Toteut. op.vuodet'!$A:$T,COLUMN('2.1 Toteut. op.vuodet'!T:T),FALSE),0)</f>
        <v>1.1910692535845355</v>
      </c>
      <c r="J142" s="81">
        <f t="shared" si="4"/>
        <v>1585.3</v>
      </c>
      <c r="K142" s="16">
        <f>IFERROR(Ohj.lask.[[#This Row],[Painotetut opiskelija-vuodet]]/Ohj.lask.[[#Totals],[Painotetut opiskelija-vuodet]],0)</f>
        <v>7.7418113484708827E-3</v>
      </c>
      <c r="L142" s="17">
        <f>ROUND(IFERROR('1.1 Jakotaulu'!L$11*Ohj.lask.[[#This Row],[%-osuus 1]],0),0)</f>
        <v>9750587</v>
      </c>
      <c r="M142" s="186">
        <f>IFERROR(ROUND(VLOOKUP($A142,'2.2 Tutk. ja osien pain. pist.'!$A:$Q,COLUMN('2.2 Tutk. ja osien pain. pist.'!P:P),FALSE),1),0)</f>
        <v>171727</v>
      </c>
      <c r="N142" s="16">
        <f>IFERROR(Ohj.lask.[[#This Row],[Painotetut pisteet 2]]/Ohj.lask.[[#Totals],[Painotetut pisteet 2]],0)</f>
        <v>1.1024196637356497E-2</v>
      </c>
      <c r="O142" s="23">
        <f>ROUND(IFERROR('1.1 Jakotaulu'!K$12*Ohj.lask.[[#This Row],[%-osuus 2]],0),0)</f>
        <v>4047887</v>
      </c>
      <c r="P142" s="187">
        <f>IFERROR(ROUND(VLOOKUP($A142,'2.3 Työll. ja jatko-opisk.'!$A:$K,COLUMN('2.3 Työll. ja jatko-opisk.'!I:I),FALSE),1),0)</f>
        <v>1264.8</v>
      </c>
      <c r="Q142" s="16">
        <f>IFERROR(Ohj.lask.[[#This Row],[Painotetut pisteet 3]]/Ohj.lask.[[#Totals],[Painotetut pisteet 3]],0)</f>
        <v>6.3550475849764041E-3</v>
      </c>
      <c r="R142" s="17">
        <f>ROUND(IFERROR('1.1 Jakotaulu'!L$14*Ohj.lask.[[#This Row],[%-osuus 3]],0),0)</f>
        <v>875047</v>
      </c>
      <c r="S142" s="186">
        <f>IFERROR(ROUND(VLOOKUP($A142,'2.4 Aloittaneet palaute'!$A:$K,COLUMN('2.4 Aloittaneet palaute'!J:J),FALSE),1),0)</f>
        <v>16832.2</v>
      </c>
      <c r="T142" s="20">
        <f>IFERROR(Ohj.lask.[[#This Row],[Painotetut pisteet 4]]/Ohj.lask.[[#Totals],[Painotetut pisteet 4]],0)</f>
        <v>1.0225785355223657E-2</v>
      </c>
      <c r="U142" s="23">
        <f>ROUND(IFERROR('1.1 Jakotaulu'!M$16*Ohj.lask.[[#This Row],[%-osuus 4]],0),0)</f>
        <v>117335</v>
      </c>
      <c r="V142" s="81">
        <f>IFERROR(ROUND(VLOOKUP($A142,'2.5 Päättäneet palaute'!$A:$AC,COLUMN('2.5 Päättäneet palaute'!AB:AB),FALSE),1),0)</f>
        <v>43710.7</v>
      </c>
      <c r="W142" s="20">
        <f>IFERROR(Ohj.lask.[[#This Row],[Painotetut pisteet 5]]/Ohj.lask.[[#Totals],[Painotetut pisteet 5]],0)</f>
        <v>5.0700097867832309E-3</v>
      </c>
      <c r="X142" s="17">
        <f>ROUND(IFERROR('1.1 Jakotaulu'!M$17*Ohj.lask.[[#This Row],[%-osuus 5]],0),0)</f>
        <v>174527</v>
      </c>
      <c r="Y142" s="19">
        <f>IFERROR(Ohj.lask.[[#This Row],[Jaettava € 6]]/Ohj.lask.[[#Totals],[Jaettava € 6]],"")</f>
        <v>8.2670529086667447E-3</v>
      </c>
      <c r="Z142" s="23">
        <f>IFERROR(Ohj.lask.[[#This Row],[Jaettava € 1]]+Ohj.lask.[[#This Row],[Jaettava € 2]]+Ohj.lask.[[#This Row],[Jaettava € 3]]+Ohj.lask.[[#This Row],[Jaettava € 4]]+Ohj.lask.[[#This Row],[Jaettava € 5]],"")</f>
        <v>14965383</v>
      </c>
      <c r="AA142" s="17">
        <v>190000</v>
      </c>
      <c r="AB142" s="17">
        <v>0</v>
      </c>
      <c r="AC142" s="18">
        <v>0</v>
      </c>
      <c r="AD142" s="17">
        <v>0</v>
      </c>
      <c r="AE142" s="18">
        <v>0</v>
      </c>
      <c r="AF142" s="17">
        <v>0</v>
      </c>
      <c r="AG142" s="18">
        <v>150000</v>
      </c>
      <c r="AH142" s="17">
        <v>0</v>
      </c>
      <c r="AI142" s="18">
        <v>0</v>
      </c>
      <c r="AJ142" s="17">
        <v>115000</v>
      </c>
      <c r="AK142" s="18">
        <v>0</v>
      </c>
      <c r="AL142" s="17">
        <v>0</v>
      </c>
      <c r="AM142" s="18">
        <v>0</v>
      </c>
      <c r="AN142" s="23">
        <v>0</v>
      </c>
      <c r="AO142" s="17">
        <v>0</v>
      </c>
      <c r="AP142" s="17">
        <v>0</v>
      </c>
      <c r="AQ142" s="18">
        <f>IFERROR(VLOOKUP(Ohj.lask.[[#This Row],[Y-tunnus]],#REF!,COLUMN(#REF!),FALSE),0)</f>
        <v>0</v>
      </c>
      <c r="AR142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115000</v>
      </c>
      <c r="AS142" s="17">
        <f>Ohj.lask.[[#This Row],[Jaettava € 1]]+Ohj.lask.[[#This Row],[Päätös, € 9]]</f>
        <v>9865587</v>
      </c>
      <c r="AT142" s="113">
        <f>Ohj.lask.[[#This Row],[Jaettava € 2]]</f>
        <v>4047887</v>
      </c>
      <c r="AU142" s="17">
        <f>Ohj.lask.[[#This Row],[Jaettava € 3]]+Ohj.lask.[[#This Row],[Jaettava € 4]]+Ohj.lask.[[#This Row],[Jaettava € 5]]</f>
        <v>1166909</v>
      </c>
      <c r="AV142" s="42">
        <f>Ohj.lask.[[#This Row],[Jaettava € 6]]+Ohj.lask.[[#This Row],[Päätös, € 9]]</f>
        <v>15080383</v>
      </c>
      <c r="AW142" s="42">
        <v>1123381</v>
      </c>
      <c r="AX142" s="23">
        <f>Ohj.lask.[[#This Row],[Perus-, suoritus- ja vaikuttavuusrahoitus yhteensä, €]]+Ohj.lask.[[#This Row],[Alv-korvaus, €]]</f>
        <v>16203764</v>
      </c>
    </row>
    <row r="143" spans="1:50" ht="12.75" x14ac:dyDescent="0.2">
      <c r="A143" s="134" t="s">
        <v>239</v>
      </c>
      <c r="B143" s="14" t="s">
        <v>184</v>
      </c>
      <c r="C143" s="107" t="s">
        <v>216</v>
      </c>
      <c r="D143" s="107" t="s">
        <v>392</v>
      </c>
      <c r="E143" s="107" t="s">
        <v>438</v>
      </c>
      <c r="F143" s="116">
        <v>0</v>
      </c>
      <c r="G143" s="124">
        <f>Ohj.lask.[[#This Row],[Tavoitteelliset opiskelija-vuodet]]-Ohj.lask.[[#This Row],[Järjestämisluvan opisk.vuosien vähimmäismäärä]]</f>
        <v>0</v>
      </c>
      <c r="H143" s="41">
        <v>0</v>
      </c>
      <c r="I143" s="15">
        <f>IFERROR(VLOOKUP($A143,'2.1 Toteut. op.vuodet'!$A:$T,COLUMN('2.1 Toteut. op.vuodet'!T:T),FALSE),0)</f>
        <v>0.85999999999999777</v>
      </c>
      <c r="J143" s="81">
        <f t="shared" si="4"/>
        <v>0</v>
      </c>
      <c r="K143" s="16">
        <f>IFERROR(Ohj.lask.[[#This Row],[Painotetut opiskelija-vuodet]]/Ohj.lask.[[#Totals],[Painotetut opiskelija-vuodet]],0)</f>
        <v>0</v>
      </c>
      <c r="L143" s="17">
        <f>ROUND(IFERROR('1.1 Jakotaulu'!L$11*Ohj.lask.[[#This Row],[%-osuus 1]],0),0)</f>
        <v>0</v>
      </c>
      <c r="M143" s="186">
        <f>IFERROR(ROUND(VLOOKUP($A143,'2.2 Tutk. ja osien pain. pist.'!$A:$Q,COLUMN('2.2 Tutk. ja osien pain. pist.'!P:P),FALSE),1),0)</f>
        <v>0</v>
      </c>
      <c r="N143" s="16">
        <f>IFERROR(Ohj.lask.[[#This Row],[Painotetut pisteet 2]]/Ohj.lask.[[#Totals],[Painotetut pisteet 2]],0)</f>
        <v>0</v>
      </c>
      <c r="O143" s="23">
        <f>ROUND(IFERROR('1.1 Jakotaulu'!K$12*Ohj.lask.[[#This Row],[%-osuus 2]],0),0)</f>
        <v>0</v>
      </c>
      <c r="P143" s="187">
        <f>IFERROR(ROUND(VLOOKUP($A143,'2.3 Työll. ja jatko-opisk.'!$A:$K,COLUMN('2.3 Työll. ja jatko-opisk.'!I:I),FALSE),1),0)</f>
        <v>0</v>
      </c>
      <c r="Q143" s="20">
        <f>IFERROR(Ohj.lask.[[#This Row],[Painotetut pisteet 3]]/Ohj.lask.[[#Totals],[Painotetut pisteet 3]],0)</f>
        <v>0</v>
      </c>
      <c r="R143" s="17">
        <f>ROUND(IFERROR('1.1 Jakotaulu'!L$14*Ohj.lask.[[#This Row],[%-osuus 3]],0),0)</f>
        <v>0</v>
      </c>
      <c r="S143" s="186">
        <f>IFERROR(ROUND(VLOOKUP($A143,'2.4 Aloittaneet palaute'!$A:$K,COLUMN('2.4 Aloittaneet palaute'!J:J),FALSE),1),0)</f>
        <v>0</v>
      </c>
      <c r="T143" s="20">
        <f>IFERROR(Ohj.lask.[[#This Row],[Painotetut pisteet 4]]/Ohj.lask.[[#Totals],[Painotetut pisteet 4]],0)</f>
        <v>0</v>
      </c>
      <c r="U143" s="23">
        <f>ROUND(IFERROR('1.1 Jakotaulu'!M$16*Ohj.lask.[[#This Row],[%-osuus 4]],0),0)</f>
        <v>0</v>
      </c>
      <c r="V143" s="81">
        <f>IFERROR(ROUND(VLOOKUP($A143,'2.5 Päättäneet palaute'!$A:$AC,COLUMN('2.5 Päättäneet palaute'!AB:AB),FALSE),1),0)</f>
        <v>0</v>
      </c>
      <c r="W143" s="20">
        <f>IFERROR(Ohj.lask.[[#This Row],[Painotetut pisteet 5]]/Ohj.lask.[[#Totals],[Painotetut pisteet 5]],0)</f>
        <v>0</v>
      </c>
      <c r="X143" s="17">
        <f>ROUND(IFERROR('1.1 Jakotaulu'!M$17*Ohj.lask.[[#This Row],[%-osuus 5]],0),0)</f>
        <v>0</v>
      </c>
      <c r="Y143" s="19">
        <f>IFERROR(Ohj.lask.[[#This Row],[Jaettava € 6]]/Ohj.lask.[[#Totals],[Jaettava € 6]],"")</f>
        <v>0</v>
      </c>
      <c r="Z143" s="23">
        <f>IFERROR(Ohj.lask.[[#This Row],[Jaettava € 1]]+Ohj.lask.[[#This Row],[Jaettava € 2]]+Ohj.lask.[[#This Row],[Jaettava € 3]]+Ohj.lask.[[#This Row],[Jaettava € 4]]+Ohj.lask.[[#This Row],[Jaettava € 5]],"")</f>
        <v>0</v>
      </c>
      <c r="AA143" s="17">
        <v>0</v>
      </c>
      <c r="AB143" s="17">
        <v>0</v>
      </c>
      <c r="AC143" s="18">
        <v>0</v>
      </c>
      <c r="AD143" s="17">
        <v>0</v>
      </c>
      <c r="AE143" s="18">
        <v>0</v>
      </c>
      <c r="AF143" s="17">
        <v>0</v>
      </c>
      <c r="AG143" s="18">
        <v>0</v>
      </c>
      <c r="AH143" s="17">
        <v>0</v>
      </c>
      <c r="AI143" s="18">
        <v>0</v>
      </c>
      <c r="AJ143" s="17">
        <v>0</v>
      </c>
      <c r="AK143" s="18">
        <v>0</v>
      </c>
      <c r="AL143" s="17">
        <v>0</v>
      </c>
      <c r="AM143" s="18">
        <v>0</v>
      </c>
      <c r="AN143" s="23">
        <v>0</v>
      </c>
      <c r="AO143" s="17">
        <v>0</v>
      </c>
      <c r="AP143" s="17">
        <v>0</v>
      </c>
      <c r="AQ143" s="18">
        <f>IFERROR(VLOOKUP(Ohj.lask.[[#This Row],[Y-tunnus]],#REF!,COLUMN(#REF!),FALSE),0)</f>
        <v>0</v>
      </c>
      <c r="AR143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43" s="17">
        <f>Ohj.lask.[[#This Row],[Jaettava € 1]]+Ohj.lask.[[#This Row],[Päätös, € 9]]</f>
        <v>0</v>
      </c>
      <c r="AT143" s="113">
        <f>Ohj.lask.[[#This Row],[Jaettava € 2]]</f>
        <v>0</v>
      </c>
      <c r="AU143" s="17">
        <f>Ohj.lask.[[#This Row],[Jaettava € 3]]+Ohj.lask.[[#This Row],[Jaettava € 4]]+Ohj.lask.[[#This Row],[Jaettava € 5]]</f>
        <v>0</v>
      </c>
      <c r="AV143" s="42">
        <f>Ohj.lask.[[#This Row],[Jaettava € 6]]+Ohj.lask.[[#This Row],[Päätös, € 9]]</f>
        <v>0</v>
      </c>
      <c r="AW143" s="42">
        <v>0</v>
      </c>
      <c r="AX143" s="23">
        <f>Ohj.lask.[[#This Row],[Perus-, suoritus- ja vaikuttavuusrahoitus yhteensä, €]]+Ohj.lask.[[#This Row],[Alv-korvaus, €]]</f>
        <v>0</v>
      </c>
    </row>
    <row r="144" spans="1:50" ht="12.75" x14ac:dyDescent="0.2">
      <c r="A144" s="134" t="s">
        <v>238</v>
      </c>
      <c r="B144" s="14" t="s">
        <v>177</v>
      </c>
      <c r="C144" s="14" t="s">
        <v>216</v>
      </c>
      <c r="D144" s="14" t="s">
        <v>392</v>
      </c>
      <c r="E144" s="14" t="s">
        <v>438</v>
      </c>
      <c r="F144" s="117">
        <v>0</v>
      </c>
      <c r="G144" s="124">
        <f>Ohj.lask.[[#This Row],[Tavoitteelliset opiskelija-vuodet]]-Ohj.lask.[[#This Row],[Järjestämisluvan opisk.vuosien vähimmäismäärä]]</f>
        <v>38</v>
      </c>
      <c r="H144" s="41">
        <v>38</v>
      </c>
      <c r="I144" s="15">
        <f>IFERROR(VLOOKUP($A144,'2.1 Toteut. op.vuodet'!$A:$T,COLUMN('2.1 Toteut. op.vuodet'!T:T),FALSE),0)</f>
        <v>0.42999999999999361</v>
      </c>
      <c r="J144" s="81">
        <f t="shared" si="4"/>
        <v>16.3</v>
      </c>
      <c r="K144" s="16">
        <f>IFERROR(Ohj.lask.[[#This Row],[Painotetut opiskelija-vuodet]]/Ohj.lask.[[#Totals],[Painotetut opiskelija-vuodet]],0)</f>
        <v>7.9601037645919001E-5</v>
      </c>
      <c r="L144" s="17">
        <f>ROUND(IFERROR('1.1 Jakotaulu'!L$11*Ohj.lask.[[#This Row],[%-osuus 1]],0),0)</f>
        <v>100255</v>
      </c>
      <c r="M144" s="186">
        <f>IFERROR(ROUND(VLOOKUP($A144,'2.2 Tutk. ja osien pain. pist.'!$A:$Q,COLUMN('2.2 Tutk. ja osien pain. pist.'!P:P),FALSE),1),0)</f>
        <v>0</v>
      </c>
      <c r="N144" s="16">
        <f>IFERROR(Ohj.lask.[[#This Row],[Painotetut pisteet 2]]/Ohj.lask.[[#Totals],[Painotetut pisteet 2]],0)</f>
        <v>0</v>
      </c>
      <c r="O144" s="23">
        <f>ROUND(IFERROR('1.1 Jakotaulu'!K$12*Ohj.lask.[[#This Row],[%-osuus 2]],0),0)</f>
        <v>0</v>
      </c>
      <c r="P144" s="187">
        <f>IFERROR(ROUND(VLOOKUP($A144,'2.3 Työll. ja jatko-opisk.'!$A:$K,COLUMN('2.3 Työll. ja jatko-opisk.'!I:I),FALSE),1),0)</f>
        <v>0</v>
      </c>
      <c r="Q144" s="16">
        <f>IFERROR(Ohj.lask.[[#This Row],[Painotetut pisteet 3]]/Ohj.lask.[[#Totals],[Painotetut pisteet 3]],0)</f>
        <v>0</v>
      </c>
      <c r="R144" s="17">
        <f>ROUND(IFERROR('1.1 Jakotaulu'!L$14*Ohj.lask.[[#This Row],[%-osuus 3]],0),0)</f>
        <v>0</v>
      </c>
      <c r="S144" s="186">
        <f>IFERROR(ROUND(VLOOKUP($A144,'2.4 Aloittaneet palaute'!$A:$K,COLUMN('2.4 Aloittaneet palaute'!J:J),FALSE),1),0)</f>
        <v>0</v>
      </c>
      <c r="T144" s="20">
        <f>IFERROR(Ohj.lask.[[#This Row],[Painotetut pisteet 4]]/Ohj.lask.[[#Totals],[Painotetut pisteet 4]],0)</f>
        <v>0</v>
      </c>
      <c r="U144" s="23">
        <f>ROUND(IFERROR('1.1 Jakotaulu'!M$16*Ohj.lask.[[#This Row],[%-osuus 4]],0),0)</f>
        <v>0</v>
      </c>
      <c r="V144" s="81">
        <f>IFERROR(ROUND(VLOOKUP($A144,'2.5 Päättäneet palaute'!$A:$AC,COLUMN('2.5 Päättäneet palaute'!AB:AB),FALSE),1),0)</f>
        <v>0</v>
      </c>
      <c r="W144" s="20">
        <f>IFERROR(Ohj.lask.[[#This Row],[Painotetut pisteet 5]]/Ohj.lask.[[#Totals],[Painotetut pisteet 5]],0)</f>
        <v>0</v>
      </c>
      <c r="X144" s="17">
        <f>ROUND(IFERROR('1.1 Jakotaulu'!M$17*Ohj.lask.[[#This Row],[%-osuus 5]],0),0)</f>
        <v>0</v>
      </c>
      <c r="Y144" s="19">
        <f>IFERROR(Ohj.lask.[[#This Row],[Jaettava € 6]]/Ohj.lask.[[#Totals],[Jaettava € 6]],"")</f>
        <v>5.5382036621340366E-5</v>
      </c>
      <c r="Z144" s="23">
        <f>IFERROR(Ohj.lask.[[#This Row],[Jaettava € 1]]+Ohj.lask.[[#This Row],[Jaettava € 2]]+Ohj.lask.[[#This Row],[Jaettava € 3]]+Ohj.lask.[[#This Row],[Jaettava € 4]]+Ohj.lask.[[#This Row],[Jaettava € 5]],"")</f>
        <v>100255</v>
      </c>
      <c r="AA144" s="17">
        <v>0</v>
      </c>
      <c r="AB144" s="17">
        <v>0</v>
      </c>
      <c r="AC144" s="18">
        <v>200000</v>
      </c>
      <c r="AD144" s="17">
        <v>0</v>
      </c>
      <c r="AE144" s="18">
        <v>0</v>
      </c>
      <c r="AF144" s="17">
        <v>0</v>
      </c>
      <c r="AG144" s="18">
        <v>0</v>
      </c>
      <c r="AH144" s="17">
        <v>0</v>
      </c>
      <c r="AI144" s="18">
        <v>0</v>
      </c>
      <c r="AJ144" s="17">
        <v>0</v>
      </c>
      <c r="AK144" s="18">
        <v>0</v>
      </c>
      <c r="AL144" s="17">
        <v>0</v>
      </c>
      <c r="AM144" s="18">
        <v>50000</v>
      </c>
      <c r="AN144" s="23">
        <v>0</v>
      </c>
      <c r="AO144" s="17">
        <v>0</v>
      </c>
      <c r="AP144" s="17">
        <v>0</v>
      </c>
      <c r="AQ144" s="18">
        <f>IFERROR(VLOOKUP(Ohj.lask.[[#This Row],[Y-tunnus]],#REF!,COLUMN(#REF!),FALSE),0)</f>
        <v>0</v>
      </c>
      <c r="AR144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44" s="17">
        <f>Ohj.lask.[[#This Row],[Jaettava € 1]]+Ohj.lask.[[#This Row],[Päätös, € 9]]</f>
        <v>100255</v>
      </c>
      <c r="AT144" s="113">
        <f>Ohj.lask.[[#This Row],[Jaettava € 2]]</f>
        <v>0</v>
      </c>
      <c r="AU144" s="17">
        <f>Ohj.lask.[[#This Row],[Jaettava € 3]]+Ohj.lask.[[#This Row],[Jaettava € 4]]+Ohj.lask.[[#This Row],[Jaettava € 5]]</f>
        <v>0</v>
      </c>
      <c r="AV144" s="42">
        <f>Ohj.lask.[[#This Row],[Jaettava € 6]]+Ohj.lask.[[#This Row],[Päätös, € 9]]</f>
        <v>100255</v>
      </c>
      <c r="AW144" s="42">
        <v>142688</v>
      </c>
      <c r="AX144" s="23">
        <f>Ohj.lask.[[#This Row],[Perus-, suoritus- ja vaikuttavuusrahoitus yhteensä, €]]+Ohj.lask.[[#This Row],[Alv-korvaus, €]]</f>
        <v>242943</v>
      </c>
    </row>
    <row r="145" spans="1:50" ht="12.75" x14ac:dyDescent="0.2">
      <c r="A145" s="134" t="s">
        <v>237</v>
      </c>
      <c r="B145" s="14" t="s">
        <v>136</v>
      </c>
      <c r="C145" s="14" t="s">
        <v>222</v>
      </c>
      <c r="D145" s="14" t="s">
        <v>393</v>
      </c>
      <c r="E145" s="14" t="s">
        <v>440</v>
      </c>
      <c r="F145" s="117">
        <v>2401</v>
      </c>
      <c r="G145" s="124">
        <f>Ohj.lask.[[#This Row],[Tavoitteelliset opiskelija-vuodet]]-Ohj.lask.[[#This Row],[Järjestämisluvan opisk.vuosien vähimmäismäärä]]</f>
        <v>249</v>
      </c>
      <c r="H145" s="41">
        <v>2650</v>
      </c>
      <c r="I145" s="15">
        <f>IFERROR(VLOOKUP($A145,'2.1 Toteut. op.vuodet'!$A:$T,COLUMN('2.1 Toteut. op.vuodet'!T:T),FALSE),0)</f>
        <v>1.0294383629647714</v>
      </c>
      <c r="J145" s="81">
        <f t="shared" si="4"/>
        <v>2728</v>
      </c>
      <c r="K145" s="16">
        <f>IFERROR(Ohj.lask.[[#This Row],[Painotetut opiskelija-vuodet]]/Ohj.lask.[[#Totals],[Painotetut opiskelija-vuodet]],0)</f>
        <v>1.332218593239675E-2</v>
      </c>
      <c r="L145" s="17">
        <f>ROUND(IFERROR('1.1 Jakotaulu'!L$11*Ohj.lask.[[#This Row],[%-osuus 1]],0),0)</f>
        <v>16778907</v>
      </c>
      <c r="M145" s="186">
        <f>IFERROR(ROUND(VLOOKUP($A145,'2.2 Tutk. ja osien pain. pist.'!$A:$Q,COLUMN('2.2 Tutk. ja osien pain. pist.'!P:P),FALSE),1),0)</f>
        <v>206974.6</v>
      </c>
      <c r="N145" s="16">
        <f>IFERROR(Ohj.lask.[[#This Row],[Painotetut pisteet 2]]/Ohj.lask.[[#Totals],[Painotetut pisteet 2]],0)</f>
        <v>1.328695364932833E-2</v>
      </c>
      <c r="O145" s="23">
        <f>ROUND(IFERROR('1.1 Jakotaulu'!K$12*Ohj.lask.[[#This Row],[%-osuus 2]],0),0)</f>
        <v>4878730</v>
      </c>
      <c r="P145" s="187">
        <f>IFERROR(ROUND(VLOOKUP($A145,'2.3 Työll. ja jatko-opisk.'!$A:$K,COLUMN('2.3 Työll. ja jatko-opisk.'!I:I),FALSE),1),0)</f>
        <v>2905.4</v>
      </c>
      <c r="Q145" s="16">
        <f>IFERROR(Ohj.lask.[[#This Row],[Painotetut pisteet 3]]/Ohj.lask.[[#Totals],[Painotetut pisteet 3]],0)</f>
        <v>1.4598320092813446E-2</v>
      </c>
      <c r="R145" s="17">
        <f>ROUND(IFERROR('1.1 Jakotaulu'!L$14*Ohj.lask.[[#This Row],[%-osuus 3]],0),0)</f>
        <v>2010090</v>
      </c>
      <c r="S145" s="186">
        <f>IFERROR(ROUND(VLOOKUP($A145,'2.4 Aloittaneet palaute'!$A:$K,COLUMN('2.4 Aloittaneet palaute'!J:J),FALSE),1),0)</f>
        <v>11527.2</v>
      </c>
      <c r="T145" s="20">
        <f>IFERROR(Ohj.lask.[[#This Row],[Painotetut pisteet 4]]/Ohj.lask.[[#Totals],[Painotetut pisteet 4]],0)</f>
        <v>7.0029273028323173E-3</v>
      </c>
      <c r="U145" s="23">
        <f>ROUND(IFERROR('1.1 Jakotaulu'!M$16*Ohj.lask.[[#This Row],[%-osuus 4]],0),0)</f>
        <v>80355</v>
      </c>
      <c r="V145" s="81">
        <f>IFERROR(ROUND(VLOOKUP($A145,'2.5 Päättäneet palaute'!$A:$AC,COLUMN('2.5 Päättäneet palaute'!AB:AB),FALSE),1),0)</f>
        <v>84397.9</v>
      </c>
      <c r="W145" s="20">
        <f>IFERROR(Ohj.lask.[[#This Row],[Painotetut pisteet 5]]/Ohj.lask.[[#Totals],[Painotetut pisteet 5]],0)</f>
        <v>9.7893234147234526E-3</v>
      </c>
      <c r="X145" s="17">
        <f>ROUND(IFERROR('1.1 Jakotaulu'!M$17*Ohj.lask.[[#This Row],[%-osuus 5]],0),0)</f>
        <v>336981</v>
      </c>
      <c r="Y145" s="19">
        <f>IFERROR(Ohj.lask.[[#This Row],[Jaettava € 6]]/Ohj.lask.[[#Totals],[Jaettava € 6]],"")</f>
        <v>1.3304870989908632E-2</v>
      </c>
      <c r="Z145" s="23">
        <f>IFERROR(Ohj.lask.[[#This Row],[Jaettava € 1]]+Ohj.lask.[[#This Row],[Jaettava € 2]]+Ohj.lask.[[#This Row],[Jaettava € 3]]+Ohj.lask.[[#This Row],[Jaettava € 4]]+Ohj.lask.[[#This Row],[Jaettava € 5]],"")</f>
        <v>24085063</v>
      </c>
      <c r="AA145" s="17">
        <v>0</v>
      </c>
      <c r="AB145" s="17">
        <v>0</v>
      </c>
      <c r="AC145" s="18">
        <v>0</v>
      </c>
      <c r="AD145" s="17">
        <v>0</v>
      </c>
      <c r="AE145" s="18">
        <v>0</v>
      </c>
      <c r="AF145" s="17">
        <v>0</v>
      </c>
      <c r="AG145" s="18">
        <v>230000</v>
      </c>
      <c r="AH145" s="17">
        <v>0</v>
      </c>
      <c r="AI145" s="18">
        <v>0</v>
      </c>
      <c r="AJ145" s="17">
        <v>0</v>
      </c>
      <c r="AK145" s="18">
        <v>0</v>
      </c>
      <c r="AL145" s="17">
        <v>0</v>
      </c>
      <c r="AM145" s="18">
        <v>60000</v>
      </c>
      <c r="AN145" s="23">
        <v>50000</v>
      </c>
      <c r="AO145" s="17">
        <v>50000</v>
      </c>
      <c r="AP145" s="17">
        <v>22000</v>
      </c>
      <c r="AQ145" s="18">
        <f>IFERROR(VLOOKUP(Ohj.lask.[[#This Row],[Y-tunnus]],#REF!,COLUMN(#REF!),FALSE),0)</f>
        <v>0</v>
      </c>
      <c r="AR145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72000</v>
      </c>
      <c r="AS145" s="17">
        <f>Ohj.lask.[[#This Row],[Jaettava € 1]]+Ohj.lask.[[#This Row],[Päätös, € 9]]</f>
        <v>16850907</v>
      </c>
      <c r="AT145" s="113">
        <f>Ohj.lask.[[#This Row],[Jaettava € 2]]</f>
        <v>4878730</v>
      </c>
      <c r="AU145" s="17">
        <f>Ohj.lask.[[#This Row],[Jaettava € 3]]+Ohj.lask.[[#This Row],[Jaettava € 4]]+Ohj.lask.[[#This Row],[Jaettava € 5]]</f>
        <v>2427426</v>
      </c>
      <c r="AV145" s="42">
        <f>Ohj.lask.[[#This Row],[Jaettava € 6]]+Ohj.lask.[[#This Row],[Päätös, € 9]]</f>
        <v>24157063</v>
      </c>
      <c r="AW145" s="42">
        <v>0</v>
      </c>
      <c r="AX145" s="23">
        <f>Ohj.lask.[[#This Row],[Perus-, suoritus- ja vaikuttavuusrahoitus yhteensä, €]]+Ohj.lask.[[#This Row],[Alv-korvaus, €]]</f>
        <v>24157063</v>
      </c>
    </row>
    <row r="146" spans="1:50" ht="12.75" x14ac:dyDescent="0.2">
      <c r="A146" s="134" t="s">
        <v>236</v>
      </c>
      <c r="B146" s="14" t="s">
        <v>137</v>
      </c>
      <c r="C146" s="14" t="s">
        <v>227</v>
      </c>
      <c r="D146" s="14" t="s">
        <v>391</v>
      </c>
      <c r="E146" s="14" t="s">
        <v>438</v>
      </c>
      <c r="F146" s="117">
        <v>994</v>
      </c>
      <c r="G146" s="124">
        <f>Ohj.lask.[[#This Row],[Tavoitteelliset opiskelija-vuodet]]-Ohj.lask.[[#This Row],[Järjestämisluvan opisk.vuosien vähimmäismäärä]]</f>
        <v>45</v>
      </c>
      <c r="H146" s="41">
        <v>1039</v>
      </c>
      <c r="I146" s="15">
        <f>IFERROR(VLOOKUP($A146,'2.1 Toteut. op.vuodet'!$A:$T,COLUMN('2.1 Toteut. op.vuodet'!T:T),FALSE),0)</f>
        <v>0.98924832439004873</v>
      </c>
      <c r="J146" s="81">
        <f t="shared" si="4"/>
        <v>1027.8</v>
      </c>
      <c r="K146" s="16">
        <f>IFERROR(Ohj.lask.[[#This Row],[Painotetut opiskelija-vuodet]]/Ohj.lask.[[#Totals],[Painotetut opiskelija-vuodet]],0)</f>
        <v>5.0192605210107695E-3</v>
      </c>
      <c r="L146" s="17">
        <f>ROUND(IFERROR('1.1 Jakotaulu'!L$11*Ohj.lask.[[#This Row],[%-osuus 1]],0),0)</f>
        <v>6321613</v>
      </c>
      <c r="M146" s="186">
        <f>IFERROR(ROUND(VLOOKUP($A146,'2.2 Tutk. ja osien pain. pist.'!$A:$Q,COLUMN('2.2 Tutk. ja osien pain. pist.'!P:P),FALSE),1),0)</f>
        <v>73005.399999999994</v>
      </c>
      <c r="N146" s="16">
        <f>IFERROR(Ohj.lask.[[#This Row],[Painotetut pisteet 2]]/Ohj.lask.[[#Totals],[Painotetut pisteet 2]],0)</f>
        <v>4.6866589714422658E-3</v>
      </c>
      <c r="O146" s="23">
        <f>ROUND(IFERROR('1.1 Jakotaulu'!K$12*Ohj.lask.[[#This Row],[%-osuus 2]],0),0)</f>
        <v>1720857</v>
      </c>
      <c r="P146" s="187">
        <f>IFERROR(ROUND(VLOOKUP($A146,'2.3 Työll. ja jatko-opisk.'!$A:$K,COLUMN('2.3 Työll. ja jatko-opisk.'!I:I),FALSE),1),0)</f>
        <v>969.3</v>
      </c>
      <c r="Q146" s="16">
        <f>IFERROR(Ohj.lask.[[#This Row],[Painotetut pisteet 3]]/Ohj.lask.[[#Totals],[Painotetut pisteet 3]],0)</f>
        <v>4.8702938204598575E-3</v>
      </c>
      <c r="R146" s="17">
        <f>ROUND(IFERROR('1.1 Jakotaulu'!L$14*Ohj.lask.[[#This Row],[%-osuus 3]],0),0)</f>
        <v>670607</v>
      </c>
      <c r="S146" s="186">
        <f>IFERROR(ROUND(VLOOKUP($A146,'2.4 Aloittaneet palaute'!$A:$K,COLUMN('2.4 Aloittaneet palaute'!J:J),FALSE),1),0)</f>
        <v>9525.9</v>
      </c>
      <c r="T146" s="20">
        <f>IFERROR(Ohj.lask.[[#This Row],[Painotetut pisteet 4]]/Ohj.lask.[[#Totals],[Painotetut pisteet 4]],0)</f>
        <v>5.7871109370923003E-3</v>
      </c>
      <c r="U146" s="23">
        <f>ROUND(IFERROR('1.1 Jakotaulu'!M$16*Ohj.lask.[[#This Row],[%-osuus 4]],0),0)</f>
        <v>66404</v>
      </c>
      <c r="V146" s="81">
        <f>IFERROR(ROUND(VLOOKUP($A146,'2.5 Päättäneet palaute'!$A:$AC,COLUMN('2.5 Päättäneet palaute'!AB:AB),FALSE),1),0)</f>
        <v>49621.8</v>
      </c>
      <c r="W146" s="20">
        <f>IFERROR(Ohj.lask.[[#This Row],[Painotetut pisteet 5]]/Ohj.lask.[[#Totals],[Painotetut pisteet 5]],0)</f>
        <v>5.7556390457668295E-3</v>
      </c>
      <c r="X146" s="17">
        <f>ROUND(IFERROR('1.1 Jakotaulu'!M$17*Ohj.lask.[[#This Row],[%-osuus 5]],0),0)</f>
        <v>198128</v>
      </c>
      <c r="Y146" s="19">
        <f>IFERROR(Ohj.lask.[[#This Row],[Jaettava € 6]]/Ohj.lask.[[#Totals],[Jaettava € 6]],"")</f>
        <v>4.9593363962902089E-3</v>
      </c>
      <c r="Z146" s="23">
        <f>IFERROR(Ohj.lask.[[#This Row],[Jaettava € 1]]+Ohj.lask.[[#This Row],[Jaettava € 2]]+Ohj.lask.[[#This Row],[Jaettava € 3]]+Ohj.lask.[[#This Row],[Jaettava € 4]]+Ohj.lask.[[#This Row],[Jaettava € 5]],"")</f>
        <v>8977609</v>
      </c>
      <c r="AA146" s="17">
        <v>0</v>
      </c>
      <c r="AB146" s="17">
        <v>0</v>
      </c>
      <c r="AC146" s="18">
        <v>0</v>
      </c>
      <c r="AD146" s="17">
        <v>0</v>
      </c>
      <c r="AE146" s="18">
        <v>0</v>
      </c>
      <c r="AF146" s="17">
        <v>0</v>
      </c>
      <c r="AG146" s="18">
        <v>0</v>
      </c>
      <c r="AH146" s="17">
        <v>0</v>
      </c>
      <c r="AI146" s="18">
        <v>0</v>
      </c>
      <c r="AJ146" s="17">
        <v>0</v>
      </c>
      <c r="AK146" s="18">
        <v>0</v>
      </c>
      <c r="AL146" s="17">
        <v>0</v>
      </c>
      <c r="AM146" s="18">
        <v>0</v>
      </c>
      <c r="AN146" s="23">
        <v>0</v>
      </c>
      <c r="AO146" s="17">
        <v>0</v>
      </c>
      <c r="AP146" s="17">
        <v>0</v>
      </c>
      <c r="AQ146" s="18">
        <f>IFERROR(VLOOKUP(Ohj.lask.[[#This Row],[Y-tunnus]],#REF!,COLUMN(#REF!),FALSE),0)</f>
        <v>0</v>
      </c>
      <c r="AR146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46" s="17">
        <f>Ohj.lask.[[#This Row],[Jaettava € 1]]+Ohj.lask.[[#This Row],[Päätös, € 9]]</f>
        <v>6321613</v>
      </c>
      <c r="AT146" s="113">
        <f>Ohj.lask.[[#This Row],[Jaettava € 2]]</f>
        <v>1720857</v>
      </c>
      <c r="AU146" s="17">
        <f>Ohj.lask.[[#This Row],[Jaettava € 3]]+Ohj.lask.[[#This Row],[Jaettava € 4]]+Ohj.lask.[[#This Row],[Jaettava € 5]]</f>
        <v>935139</v>
      </c>
      <c r="AV146" s="42">
        <f>Ohj.lask.[[#This Row],[Jaettava € 6]]+Ohj.lask.[[#This Row],[Päätös, € 9]]</f>
        <v>8977609</v>
      </c>
      <c r="AW146" s="42">
        <v>0</v>
      </c>
      <c r="AX146" s="23">
        <f>Ohj.lask.[[#This Row],[Perus-, suoritus- ja vaikuttavuusrahoitus yhteensä, €]]+Ohj.lask.[[#This Row],[Alv-korvaus, €]]</f>
        <v>8977609</v>
      </c>
    </row>
    <row r="147" spans="1:50" ht="12.75" x14ac:dyDescent="0.2">
      <c r="A147" s="134" t="s">
        <v>235</v>
      </c>
      <c r="B147" s="14" t="s">
        <v>138</v>
      </c>
      <c r="C147" s="14" t="s">
        <v>234</v>
      </c>
      <c r="D147" s="14" t="s">
        <v>392</v>
      </c>
      <c r="E147" s="14" t="s">
        <v>438</v>
      </c>
      <c r="F147" s="117">
        <v>17</v>
      </c>
      <c r="G147" s="124">
        <f>Ohj.lask.[[#This Row],[Tavoitteelliset opiskelija-vuodet]]-Ohj.lask.[[#This Row],[Järjestämisluvan opisk.vuosien vähimmäismäärä]]</f>
        <v>0</v>
      </c>
      <c r="H147" s="41">
        <v>17</v>
      </c>
      <c r="I147" s="15">
        <f>IFERROR(VLOOKUP($A147,'2.1 Toteut. op.vuodet'!$A:$T,COLUMN('2.1 Toteut. op.vuodet'!T:T),FALSE),0)</f>
        <v>0.76229999999999976</v>
      </c>
      <c r="J147" s="81">
        <f t="shared" si="4"/>
        <v>13</v>
      </c>
      <c r="K147" s="16">
        <f>IFERROR(Ohj.lask.[[#This Row],[Painotetut opiskelija-vuodet]]/Ohj.lask.[[#Totals],[Painotetut opiskelija-vuodet]],0)</f>
        <v>6.3485490147051967E-5</v>
      </c>
      <c r="L147" s="17">
        <f>ROUND(IFERROR('1.1 Jakotaulu'!L$11*Ohj.lask.[[#This Row],[%-osuus 1]],0),0)</f>
        <v>79958</v>
      </c>
      <c r="M147" s="186">
        <f>IFERROR(ROUND(VLOOKUP($A147,'2.2 Tutk. ja osien pain. pist.'!$A:$Q,COLUMN('2.2 Tutk. ja osien pain. pist.'!P:P),FALSE),1),0)</f>
        <v>1555.7</v>
      </c>
      <c r="N147" s="16">
        <f>IFERROR(Ohj.lask.[[#This Row],[Painotetut pisteet 2]]/Ohj.lask.[[#Totals],[Painotetut pisteet 2]],0)</f>
        <v>9.9869809108267801E-5</v>
      </c>
      <c r="O147" s="23">
        <f>ROUND(IFERROR('1.1 Jakotaulu'!K$12*Ohj.lask.[[#This Row],[%-osuus 2]],0),0)</f>
        <v>36670</v>
      </c>
      <c r="P147" s="187">
        <f>IFERROR(ROUND(VLOOKUP($A147,'2.3 Työll. ja jatko-opisk.'!$A:$K,COLUMN('2.3 Työll. ja jatko-opisk.'!I:I),FALSE),1),0)</f>
        <v>59</v>
      </c>
      <c r="Q147" s="16">
        <f>IFERROR(Ohj.lask.[[#This Row],[Painotetut pisteet 3]]/Ohj.lask.[[#Totals],[Painotetut pisteet 3]],0)</f>
        <v>2.9644829816066401E-4</v>
      </c>
      <c r="R147" s="17">
        <f>ROUND(IFERROR('1.1 Jakotaulu'!L$14*Ohj.lask.[[#This Row],[%-osuus 3]],0),0)</f>
        <v>40819</v>
      </c>
      <c r="S147" s="186">
        <f>IFERROR(ROUND(VLOOKUP($A147,'2.4 Aloittaneet palaute'!$A:$K,COLUMN('2.4 Aloittaneet palaute'!J:J),FALSE),1),0)</f>
        <v>231</v>
      </c>
      <c r="T147" s="20">
        <f>IFERROR(Ohj.lask.[[#This Row],[Painotetut pisteet 4]]/Ohj.lask.[[#Totals],[Painotetut pisteet 4]],0)</f>
        <v>1.4033557212109318E-4</v>
      </c>
      <c r="U147" s="23">
        <f>ROUND(IFERROR('1.1 Jakotaulu'!M$16*Ohj.lask.[[#This Row],[%-osuus 4]],0),0)</f>
        <v>1610</v>
      </c>
      <c r="V147" s="81">
        <f>IFERROR(ROUND(VLOOKUP($A147,'2.5 Päättäneet palaute'!$A:$AC,COLUMN('2.5 Päättäneet palaute'!AB:AB),FALSE),1),0)</f>
        <v>1668</v>
      </c>
      <c r="W147" s="20">
        <f>IFERROR(Ohj.lask.[[#This Row],[Painotetut pisteet 5]]/Ohj.lask.[[#Totals],[Painotetut pisteet 5]],0)</f>
        <v>1.9347153727472747E-4</v>
      </c>
      <c r="X147" s="17">
        <f>ROUND(IFERROR('1.1 Jakotaulu'!M$17*Ohj.lask.[[#This Row],[%-osuus 5]],0),0)</f>
        <v>6660</v>
      </c>
      <c r="Y147" s="19">
        <f>IFERROR(Ohj.lask.[[#This Row],[Jaettava € 6]]/Ohj.lask.[[#Totals],[Jaettava € 6]],"")</f>
        <v>9.154401239617636E-5</v>
      </c>
      <c r="Z147" s="23">
        <f>IFERROR(Ohj.lask.[[#This Row],[Jaettava € 1]]+Ohj.lask.[[#This Row],[Jaettava € 2]]+Ohj.lask.[[#This Row],[Jaettava € 3]]+Ohj.lask.[[#This Row],[Jaettava € 4]]+Ohj.lask.[[#This Row],[Jaettava € 5]],"")</f>
        <v>165717</v>
      </c>
      <c r="AA147" s="17">
        <v>0</v>
      </c>
      <c r="AB147" s="17">
        <v>0</v>
      </c>
      <c r="AC147" s="18">
        <v>0</v>
      </c>
      <c r="AD147" s="17">
        <v>0</v>
      </c>
      <c r="AE147" s="18">
        <v>0</v>
      </c>
      <c r="AF147" s="17">
        <v>0</v>
      </c>
      <c r="AG147" s="18">
        <v>0</v>
      </c>
      <c r="AH147" s="17">
        <v>0</v>
      </c>
      <c r="AI147" s="18">
        <v>0</v>
      </c>
      <c r="AJ147" s="17">
        <v>0</v>
      </c>
      <c r="AK147" s="18">
        <v>0</v>
      </c>
      <c r="AL147" s="17">
        <v>0</v>
      </c>
      <c r="AM147" s="18">
        <v>0</v>
      </c>
      <c r="AN147" s="23">
        <v>0</v>
      </c>
      <c r="AO147" s="17">
        <v>0</v>
      </c>
      <c r="AP147" s="17">
        <v>0</v>
      </c>
      <c r="AQ147" s="18">
        <f>IFERROR(VLOOKUP(Ohj.lask.[[#This Row],[Y-tunnus]],#REF!,COLUMN(#REF!),FALSE),0)</f>
        <v>0</v>
      </c>
      <c r="AR147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47" s="17">
        <f>Ohj.lask.[[#This Row],[Jaettava € 1]]+Ohj.lask.[[#This Row],[Päätös, € 9]]</f>
        <v>79958</v>
      </c>
      <c r="AT147" s="113">
        <f>Ohj.lask.[[#This Row],[Jaettava € 2]]</f>
        <v>36670</v>
      </c>
      <c r="AU147" s="17">
        <f>Ohj.lask.[[#This Row],[Jaettava € 3]]+Ohj.lask.[[#This Row],[Jaettava € 4]]+Ohj.lask.[[#This Row],[Jaettava € 5]]</f>
        <v>49089</v>
      </c>
      <c r="AV147" s="42">
        <f>Ohj.lask.[[#This Row],[Jaettava € 6]]+Ohj.lask.[[#This Row],[Päätös, € 9]]</f>
        <v>165717</v>
      </c>
      <c r="AW147" s="42">
        <v>0</v>
      </c>
      <c r="AX147" s="23">
        <f>Ohj.lask.[[#This Row],[Perus-, suoritus- ja vaikuttavuusrahoitus yhteensä, €]]+Ohj.lask.[[#This Row],[Alv-korvaus, €]]</f>
        <v>165717</v>
      </c>
    </row>
    <row r="148" spans="1:50" ht="12.75" x14ac:dyDescent="0.2">
      <c r="A148" s="134" t="s">
        <v>233</v>
      </c>
      <c r="B148" s="14" t="s">
        <v>178</v>
      </c>
      <c r="C148" s="14" t="s">
        <v>232</v>
      </c>
      <c r="D148" s="14" t="s">
        <v>392</v>
      </c>
      <c r="E148" s="14" t="s">
        <v>438</v>
      </c>
      <c r="F148" s="117">
        <v>0</v>
      </c>
      <c r="G148" s="124">
        <f>Ohj.lask.[[#This Row],[Tavoitteelliset opiskelija-vuodet]]-Ohj.lask.[[#This Row],[Järjestämisluvan opisk.vuosien vähimmäismäärä]]</f>
        <v>0</v>
      </c>
      <c r="H148" s="41">
        <v>0</v>
      </c>
      <c r="I148" s="15">
        <f>IFERROR(VLOOKUP($A148,'2.1 Toteut. op.vuodet'!$A:$T,COLUMN('2.1 Toteut. op.vuodet'!T:T),FALSE),0)</f>
        <v>0</v>
      </c>
      <c r="J148" s="81">
        <f t="shared" si="4"/>
        <v>0</v>
      </c>
      <c r="K148" s="16">
        <f>IFERROR(Ohj.lask.[[#This Row],[Painotetut opiskelija-vuodet]]/Ohj.lask.[[#Totals],[Painotetut opiskelija-vuodet]],0)</f>
        <v>0</v>
      </c>
      <c r="L148" s="17">
        <f>ROUND(IFERROR('1.1 Jakotaulu'!L$11*Ohj.lask.[[#This Row],[%-osuus 1]],0),0)</f>
        <v>0</v>
      </c>
      <c r="M148" s="186">
        <f>IFERROR(ROUND(VLOOKUP($A148,'2.2 Tutk. ja osien pain. pist.'!$A:$Q,COLUMN('2.2 Tutk. ja osien pain. pist.'!P:P),FALSE),1),0)</f>
        <v>0</v>
      </c>
      <c r="N148" s="16">
        <f>IFERROR(Ohj.lask.[[#This Row],[Painotetut pisteet 2]]/Ohj.lask.[[#Totals],[Painotetut pisteet 2]],0)</f>
        <v>0</v>
      </c>
      <c r="O148" s="23">
        <f>ROUND(IFERROR('1.1 Jakotaulu'!K$12*Ohj.lask.[[#This Row],[%-osuus 2]],0),0)</f>
        <v>0</v>
      </c>
      <c r="P148" s="187">
        <f>IFERROR(ROUND(VLOOKUP($A148,'2.3 Työll. ja jatko-opisk.'!$A:$K,COLUMN('2.3 Työll. ja jatko-opisk.'!I:I),FALSE),1),0)</f>
        <v>0</v>
      </c>
      <c r="Q148" s="16">
        <f>IFERROR(Ohj.lask.[[#This Row],[Painotetut pisteet 3]]/Ohj.lask.[[#Totals],[Painotetut pisteet 3]],0)</f>
        <v>0</v>
      </c>
      <c r="R148" s="17">
        <f>ROUND(IFERROR('1.1 Jakotaulu'!L$14*Ohj.lask.[[#This Row],[%-osuus 3]],0),0)</f>
        <v>0</v>
      </c>
      <c r="S148" s="186">
        <f>IFERROR(ROUND(VLOOKUP($A148,'2.4 Aloittaneet palaute'!$A:$K,COLUMN('2.4 Aloittaneet palaute'!J:J),FALSE),1),0)</f>
        <v>0</v>
      </c>
      <c r="T148" s="20">
        <f>IFERROR(Ohj.lask.[[#This Row],[Painotetut pisteet 4]]/Ohj.lask.[[#Totals],[Painotetut pisteet 4]],0)</f>
        <v>0</v>
      </c>
      <c r="U148" s="23">
        <f>ROUND(IFERROR('1.1 Jakotaulu'!M$16*Ohj.lask.[[#This Row],[%-osuus 4]],0),0)</f>
        <v>0</v>
      </c>
      <c r="V148" s="81">
        <f>IFERROR(ROUND(VLOOKUP($A148,'2.5 Päättäneet palaute'!$A:$AC,COLUMN('2.5 Päättäneet palaute'!AB:AB),FALSE),1),0)</f>
        <v>0</v>
      </c>
      <c r="W148" s="20">
        <f>IFERROR(Ohj.lask.[[#This Row],[Painotetut pisteet 5]]/Ohj.lask.[[#Totals],[Painotetut pisteet 5]],0)</f>
        <v>0</v>
      </c>
      <c r="X148" s="17">
        <f>ROUND(IFERROR('1.1 Jakotaulu'!M$17*Ohj.lask.[[#This Row],[%-osuus 5]],0),0)</f>
        <v>0</v>
      </c>
      <c r="Y148" s="19">
        <f>IFERROR(Ohj.lask.[[#This Row],[Jaettava € 6]]/Ohj.lask.[[#Totals],[Jaettava € 6]],"")</f>
        <v>0</v>
      </c>
      <c r="Z148" s="23">
        <f>IFERROR(Ohj.lask.[[#This Row],[Jaettava € 1]]+Ohj.lask.[[#This Row],[Jaettava € 2]]+Ohj.lask.[[#This Row],[Jaettava € 3]]+Ohj.lask.[[#This Row],[Jaettava € 4]]+Ohj.lask.[[#This Row],[Jaettava € 5]],"")</f>
        <v>0</v>
      </c>
      <c r="AA148" s="17">
        <v>0</v>
      </c>
      <c r="AB148" s="17">
        <v>0</v>
      </c>
      <c r="AC148" s="18">
        <v>0</v>
      </c>
      <c r="AD148" s="17">
        <v>0</v>
      </c>
      <c r="AE148" s="18">
        <v>0</v>
      </c>
      <c r="AF148" s="17">
        <v>0</v>
      </c>
      <c r="AG148" s="18">
        <v>0</v>
      </c>
      <c r="AH148" s="17">
        <v>0</v>
      </c>
      <c r="AI148" s="18">
        <v>0</v>
      </c>
      <c r="AJ148" s="17">
        <v>0</v>
      </c>
      <c r="AK148" s="18">
        <v>0</v>
      </c>
      <c r="AL148" s="17">
        <v>0</v>
      </c>
      <c r="AM148" s="18">
        <v>0</v>
      </c>
      <c r="AN148" s="23">
        <v>0</v>
      </c>
      <c r="AO148" s="17">
        <v>0</v>
      </c>
      <c r="AP148" s="17">
        <v>0</v>
      </c>
      <c r="AQ148" s="18">
        <f>IFERROR(VLOOKUP(Ohj.lask.[[#This Row],[Y-tunnus]],#REF!,COLUMN(#REF!),FALSE),0)</f>
        <v>0</v>
      </c>
      <c r="AR148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48" s="17">
        <f>Ohj.lask.[[#This Row],[Jaettava € 1]]+Ohj.lask.[[#This Row],[Päätös, € 9]]</f>
        <v>0</v>
      </c>
      <c r="AT148" s="113">
        <f>Ohj.lask.[[#This Row],[Jaettava € 2]]</f>
        <v>0</v>
      </c>
      <c r="AU148" s="17">
        <f>Ohj.lask.[[#This Row],[Jaettava € 3]]+Ohj.lask.[[#This Row],[Jaettava € 4]]+Ohj.lask.[[#This Row],[Jaettava € 5]]</f>
        <v>0</v>
      </c>
      <c r="AV148" s="42">
        <f>Ohj.lask.[[#This Row],[Jaettava € 6]]+Ohj.lask.[[#This Row],[Päätös, € 9]]</f>
        <v>0</v>
      </c>
      <c r="AW148" s="42">
        <v>0</v>
      </c>
      <c r="AX148" s="23">
        <f>Ohj.lask.[[#This Row],[Perus-, suoritus- ja vaikuttavuusrahoitus yhteensä, €]]+Ohj.lask.[[#This Row],[Alv-korvaus, €]]</f>
        <v>0</v>
      </c>
    </row>
    <row r="149" spans="1:50" ht="12.75" x14ac:dyDescent="0.2">
      <c r="A149" s="134" t="s">
        <v>231</v>
      </c>
      <c r="B149" s="14" t="s">
        <v>139</v>
      </c>
      <c r="C149" s="14" t="s">
        <v>230</v>
      </c>
      <c r="D149" s="14" t="s">
        <v>392</v>
      </c>
      <c r="E149" s="14" t="s">
        <v>438</v>
      </c>
      <c r="F149" s="117">
        <v>153</v>
      </c>
      <c r="G149" s="124">
        <f>Ohj.lask.[[#This Row],[Tavoitteelliset opiskelija-vuodet]]-Ohj.lask.[[#This Row],[Järjestämisluvan opisk.vuosien vähimmäismäärä]]</f>
        <v>20</v>
      </c>
      <c r="H149" s="41">
        <v>173</v>
      </c>
      <c r="I149" s="15">
        <f>IFERROR(VLOOKUP($A149,'2.1 Toteut. op.vuodet'!$A:$T,COLUMN('2.1 Toteut. op.vuodet'!T:T),FALSE),0)</f>
        <v>1.5958985680156152</v>
      </c>
      <c r="J149" s="81">
        <f t="shared" si="4"/>
        <v>276.10000000000002</v>
      </c>
      <c r="K149" s="16">
        <f>IFERROR(Ohj.lask.[[#This Row],[Painotetut opiskelija-vuodet]]/Ohj.lask.[[#Totals],[Painotetut opiskelija-vuodet]],0)</f>
        <v>1.3483341407385422E-3</v>
      </c>
      <c r="L149" s="17">
        <f>ROUND(IFERROR('1.1 Jakotaulu'!L$11*Ohj.lask.[[#This Row],[%-osuus 1]],0),0)</f>
        <v>1698188</v>
      </c>
      <c r="M149" s="186">
        <f>IFERROR(ROUND(VLOOKUP($A149,'2.2 Tutk. ja osien pain. pist.'!$A:$Q,COLUMN('2.2 Tutk. ja osien pain. pist.'!P:P),FALSE),1),0)</f>
        <v>9279.5</v>
      </c>
      <c r="N149" s="16">
        <f>IFERROR(Ohj.lask.[[#This Row],[Painotetut pisteet 2]]/Ohj.lask.[[#Totals],[Painotetut pisteet 2]],0)</f>
        <v>5.9570733021801819E-4</v>
      </c>
      <c r="O149" s="23">
        <f>ROUND(IFERROR('1.1 Jakotaulu'!K$12*Ohj.lask.[[#This Row],[%-osuus 2]],0),0)</f>
        <v>218733</v>
      </c>
      <c r="P149" s="187">
        <f>IFERROR(ROUND(VLOOKUP($A149,'2.3 Työll. ja jatko-opisk.'!$A:$K,COLUMN('2.3 Työll. ja jatko-opisk.'!I:I),FALSE),1),0)</f>
        <v>198.7</v>
      </c>
      <c r="Q149" s="16">
        <f>IFERROR(Ohj.lask.[[#This Row],[Painotetut pisteet 3]]/Ohj.lask.[[#Totals],[Painotetut pisteet 3]],0)</f>
        <v>9.9837757363599889E-4</v>
      </c>
      <c r="R149" s="17">
        <f>ROUND(IFERROR('1.1 Jakotaulu'!L$14*Ohj.lask.[[#This Row],[%-osuus 3]],0),0)</f>
        <v>137470</v>
      </c>
      <c r="S149" s="186">
        <f>IFERROR(ROUND(VLOOKUP($A149,'2.4 Aloittaneet palaute'!$A:$K,COLUMN('2.4 Aloittaneet palaute'!J:J),FALSE),1),0)</f>
        <v>1500.5</v>
      </c>
      <c r="T149" s="20">
        <f>IFERROR(Ohj.lask.[[#This Row],[Painotetut pisteet 4]]/Ohj.lask.[[#Totals],[Painotetut pisteet 4]],0)</f>
        <v>9.1157370548788019E-4</v>
      </c>
      <c r="U149" s="23">
        <f>ROUND(IFERROR('1.1 Jakotaulu'!M$16*Ohj.lask.[[#This Row],[%-osuus 4]],0),0)</f>
        <v>10460</v>
      </c>
      <c r="V149" s="81">
        <f>IFERROR(ROUND(VLOOKUP($A149,'2.5 Päättäneet palaute'!$A:$AC,COLUMN('2.5 Päättäneet palaute'!AB:AB),FALSE),1),0)</f>
        <v>4725</v>
      </c>
      <c r="W149" s="20">
        <f>IFERROR(Ohj.lask.[[#This Row],[Painotetut pisteet 5]]/Ohj.lask.[[#Totals],[Painotetut pisteet 5]],0)</f>
        <v>5.480533654814672E-4</v>
      </c>
      <c r="X149" s="17">
        <f>ROUND(IFERROR('1.1 Jakotaulu'!M$17*Ohj.lask.[[#This Row],[%-osuus 5]],0),0)</f>
        <v>18866</v>
      </c>
      <c r="Y149" s="19">
        <f>IFERROR(Ohj.lask.[[#This Row],[Jaettava € 6]]/Ohj.lask.[[#Totals],[Jaettava € 6]],"")</f>
        <v>1.1510696843300531E-3</v>
      </c>
      <c r="Z149" s="23">
        <f>IFERROR(Ohj.lask.[[#This Row],[Jaettava € 1]]+Ohj.lask.[[#This Row],[Jaettava € 2]]+Ohj.lask.[[#This Row],[Jaettava € 3]]+Ohj.lask.[[#This Row],[Jaettava € 4]]+Ohj.lask.[[#This Row],[Jaettava € 5]],"")</f>
        <v>2083717</v>
      </c>
      <c r="AA149" s="17">
        <v>0</v>
      </c>
      <c r="AB149" s="17">
        <v>0</v>
      </c>
      <c r="AC149" s="18">
        <v>0</v>
      </c>
      <c r="AD149" s="17">
        <v>0</v>
      </c>
      <c r="AE149" s="18">
        <v>0</v>
      </c>
      <c r="AF149" s="17">
        <v>0</v>
      </c>
      <c r="AG149" s="18">
        <v>0</v>
      </c>
      <c r="AH149" s="17">
        <v>0</v>
      </c>
      <c r="AI149" s="18">
        <v>0</v>
      </c>
      <c r="AJ149" s="17">
        <v>0</v>
      </c>
      <c r="AK149" s="18">
        <v>0</v>
      </c>
      <c r="AL149" s="17">
        <v>0</v>
      </c>
      <c r="AM149" s="18">
        <v>30000</v>
      </c>
      <c r="AN149" s="23">
        <v>20000</v>
      </c>
      <c r="AO149" s="17">
        <v>30000</v>
      </c>
      <c r="AP149" s="17">
        <v>6000</v>
      </c>
      <c r="AQ149" s="18">
        <f>IFERROR(VLOOKUP(Ohj.lask.[[#This Row],[Y-tunnus]],#REF!,COLUMN(#REF!),FALSE),0)</f>
        <v>0</v>
      </c>
      <c r="AR149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26000</v>
      </c>
      <c r="AS149" s="17">
        <f>Ohj.lask.[[#This Row],[Jaettava € 1]]+Ohj.lask.[[#This Row],[Päätös, € 9]]</f>
        <v>1724188</v>
      </c>
      <c r="AT149" s="113">
        <f>Ohj.lask.[[#This Row],[Jaettava € 2]]</f>
        <v>218733</v>
      </c>
      <c r="AU149" s="17">
        <f>Ohj.lask.[[#This Row],[Jaettava € 3]]+Ohj.lask.[[#This Row],[Jaettava € 4]]+Ohj.lask.[[#This Row],[Jaettava € 5]]</f>
        <v>166796</v>
      </c>
      <c r="AV149" s="42">
        <f>Ohj.lask.[[#This Row],[Jaettava € 6]]+Ohj.lask.[[#This Row],[Päätös, € 9]]</f>
        <v>2109717</v>
      </c>
      <c r="AW149" s="42">
        <v>119329</v>
      </c>
      <c r="AX149" s="23">
        <f>Ohj.lask.[[#This Row],[Perus-, suoritus- ja vaikuttavuusrahoitus yhteensä, €]]+Ohj.lask.[[#This Row],[Alv-korvaus, €]]</f>
        <v>2229046</v>
      </c>
    </row>
    <row r="150" spans="1:50" ht="12.75" x14ac:dyDescent="0.2">
      <c r="A150" s="134" t="s">
        <v>229</v>
      </c>
      <c r="B150" s="14" t="s">
        <v>140</v>
      </c>
      <c r="C150" s="14" t="s">
        <v>216</v>
      </c>
      <c r="D150" s="14" t="s">
        <v>393</v>
      </c>
      <c r="E150" s="14" t="s">
        <v>438</v>
      </c>
      <c r="F150" s="117">
        <v>3063</v>
      </c>
      <c r="G150" s="124">
        <f>Ohj.lask.[[#This Row],[Tavoitteelliset opiskelija-vuodet]]-Ohj.lask.[[#This Row],[Järjestämisluvan opisk.vuosien vähimmäismäärä]]</f>
        <v>557</v>
      </c>
      <c r="H150" s="41">
        <v>3620</v>
      </c>
      <c r="I150" s="15">
        <f>IFERROR(VLOOKUP($A150,'2.1 Toteut. op.vuodet'!$A:$T,COLUMN('2.1 Toteut. op.vuodet'!T:T),FALSE),0)</f>
        <v>1.0591473267375586</v>
      </c>
      <c r="J150" s="81">
        <f t="shared" si="4"/>
        <v>3834.1</v>
      </c>
      <c r="K150" s="16">
        <f>IFERROR(Ohj.lask.[[#This Row],[Painotetut opiskelija-vuodet]]/Ohj.lask.[[#Totals],[Painotetut opiskelija-vuodet]],0)</f>
        <v>1.8723824444062457E-2</v>
      </c>
      <c r="L150" s="17">
        <f>ROUND(IFERROR('1.1 Jakotaulu'!L$11*Ohj.lask.[[#This Row],[%-osuus 1]],0),0)</f>
        <v>23582114</v>
      </c>
      <c r="M150" s="186">
        <f>IFERROR(ROUND(VLOOKUP($A150,'2.2 Tutk. ja osien pain. pist.'!$A:$Q,COLUMN('2.2 Tutk. ja osien pain. pist.'!P:P),FALSE),1),0)</f>
        <v>288292.90000000002</v>
      </c>
      <c r="N150" s="16">
        <f>IFERROR(Ohj.lask.[[#This Row],[Painotetut pisteet 2]]/Ohj.lask.[[#Totals],[Painotetut pisteet 2]],0)</f>
        <v>1.8507268040283433E-2</v>
      </c>
      <c r="O150" s="23">
        <f>ROUND(IFERROR('1.1 Jakotaulu'!K$12*Ohj.lask.[[#This Row],[%-osuus 2]],0),0)</f>
        <v>6795536</v>
      </c>
      <c r="P150" s="187">
        <f>IFERROR(ROUND(VLOOKUP($A150,'2.3 Työll. ja jatko-opisk.'!$A:$K,COLUMN('2.3 Työll. ja jatko-opisk.'!I:I),FALSE),1),0)</f>
        <v>3165.9</v>
      </c>
      <c r="Q150" s="16">
        <f>IFERROR(Ohj.lask.[[#This Row],[Painotetut pisteet 3]]/Ohj.lask.[[#Totals],[Painotetut pisteet 3]],0)</f>
        <v>1.5907214697404172E-2</v>
      </c>
      <c r="R150" s="17">
        <f>ROUND(IFERROR('1.1 Jakotaulu'!L$14*Ohj.lask.[[#This Row],[%-osuus 3]],0),0)</f>
        <v>2190316</v>
      </c>
      <c r="S150" s="186">
        <f>IFERROR(ROUND(VLOOKUP($A150,'2.4 Aloittaneet palaute'!$A:$K,COLUMN('2.4 Aloittaneet palaute'!J:J),FALSE),1),0)</f>
        <v>33082.6</v>
      </c>
      <c r="T150" s="20">
        <f>IFERROR(Ohj.lask.[[#This Row],[Painotetut pisteet 4]]/Ohj.lask.[[#Totals],[Painotetut pisteet 4]],0)</f>
        <v>2.009811947295791E-2</v>
      </c>
      <c r="U150" s="23">
        <f>ROUND(IFERROR('1.1 Jakotaulu'!M$16*Ohj.lask.[[#This Row],[%-osuus 4]],0),0)</f>
        <v>230615</v>
      </c>
      <c r="V150" s="81">
        <f>IFERROR(ROUND(VLOOKUP($A150,'2.5 Päättäneet palaute'!$A:$AC,COLUMN('2.5 Päättäneet palaute'!AB:AB),FALSE),1),0)</f>
        <v>140228.29999999999</v>
      </c>
      <c r="W150" s="20">
        <f>IFERROR(Ohj.lask.[[#This Row],[Painotetut pisteet 5]]/Ohj.lask.[[#Totals],[Painotetut pisteet 5]],0)</f>
        <v>1.6265098783226416E-2</v>
      </c>
      <c r="X150" s="17">
        <f>ROUND(IFERROR('1.1 Jakotaulu'!M$17*Ohj.lask.[[#This Row],[%-osuus 5]],0),0)</f>
        <v>559899</v>
      </c>
      <c r="Y150" s="19">
        <f>IFERROR(Ohj.lask.[[#This Row],[Jaettava € 6]]/Ohj.lask.[[#Totals],[Jaettava € 6]],"")</f>
        <v>1.8427615191184979E-2</v>
      </c>
      <c r="Z150" s="23">
        <f>IFERROR(Ohj.lask.[[#This Row],[Jaettava € 1]]+Ohj.lask.[[#This Row],[Jaettava € 2]]+Ohj.lask.[[#This Row],[Jaettava € 3]]+Ohj.lask.[[#This Row],[Jaettava € 4]]+Ohj.lask.[[#This Row],[Jaettava € 5]],"")</f>
        <v>33358480</v>
      </c>
      <c r="AA150" s="17">
        <v>1041700</v>
      </c>
      <c r="AB150" s="17">
        <v>0</v>
      </c>
      <c r="AC150" s="18">
        <v>0</v>
      </c>
      <c r="AD150" s="17">
        <v>0</v>
      </c>
      <c r="AE150" s="18">
        <v>0</v>
      </c>
      <c r="AF150" s="17">
        <v>0</v>
      </c>
      <c r="AG150" s="18">
        <v>0</v>
      </c>
      <c r="AH150" s="17">
        <v>0</v>
      </c>
      <c r="AI150" s="18">
        <v>0</v>
      </c>
      <c r="AJ150" s="17">
        <v>90000</v>
      </c>
      <c r="AK150" s="18">
        <v>0</v>
      </c>
      <c r="AL150" s="17">
        <v>0</v>
      </c>
      <c r="AM150" s="18">
        <v>0</v>
      </c>
      <c r="AN150" s="23">
        <v>0</v>
      </c>
      <c r="AO150" s="17">
        <v>0</v>
      </c>
      <c r="AP150" s="17">
        <v>0</v>
      </c>
      <c r="AQ150" s="18">
        <f>IFERROR(VLOOKUP(Ohj.lask.[[#This Row],[Y-tunnus]],#REF!,COLUMN(#REF!),FALSE),0)</f>
        <v>0</v>
      </c>
      <c r="AR150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90000</v>
      </c>
      <c r="AS150" s="17">
        <f>Ohj.lask.[[#This Row],[Jaettava € 1]]+Ohj.lask.[[#This Row],[Päätös, € 9]]</f>
        <v>23672114</v>
      </c>
      <c r="AT150" s="113">
        <f>Ohj.lask.[[#This Row],[Jaettava € 2]]</f>
        <v>6795536</v>
      </c>
      <c r="AU150" s="17">
        <f>Ohj.lask.[[#This Row],[Jaettava € 3]]+Ohj.lask.[[#This Row],[Jaettava € 4]]+Ohj.lask.[[#This Row],[Jaettava € 5]]</f>
        <v>2980830</v>
      </c>
      <c r="AV150" s="42">
        <f>Ohj.lask.[[#This Row],[Jaettava € 6]]+Ohj.lask.[[#This Row],[Päätös, € 9]]</f>
        <v>33448480</v>
      </c>
      <c r="AW150" s="42">
        <v>0</v>
      </c>
      <c r="AX150" s="23">
        <f>Ohj.lask.[[#This Row],[Perus-, suoritus- ja vaikuttavuusrahoitus yhteensä, €]]+Ohj.lask.[[#This Row],[Alv-korvaus, €]]</f>
        <v>33448480</v>
      </c>
    </row>
    <row r="151" spans="1:50" ht="12.75" x14ac:dyDescent="0.2">
      <c r="A151" s="134" t="s">
        <v>228</v>
      </c>
      <c r="B151" s="14" t="s">
        <v>141</v>
      </c>
      <c r="C151" s="14" t="s">
        <v>227</v>
      </c>
      <c r="D151" s="14" t="s">
        <v>392</v>
      </c>
      <c r="E151" s="14" t="s">
        <v>438</v>
      </c>
      <c r="F151" s="117">
        <v>128</v>
      </c>
      <c r="G151" s="124">
        <f>Ohj.lask.[[#This Row],[Tavoitteelliset opiskelija-vuodet]]-Ohj.lask.[[#This Row],[Järjestämisluvan opisk.vuosien vähimmäismäärä]]</f>
        <v>32</v>
      </c>
      <c r="H151" s="41">
        <v>160</v>
      </c>
      <c r="I151" s="15">
        <f>IFERROR(VLOOKUP($A151,'2.1 Toteut. op.vuodet'!$A:$T,COLUMN('2.1 Toteut. op.vuodet'!T:T),FALSE),0)</f>
        <v>1.3174293492362517</v>
      </c>
      <c r="J151" s="81">
        <f t="shared" si="4"/>
        <v>210.8</v>
      </c>
      <c r="K151" s="16">
        <f>IFERROR(Ohj.lask.[[#This Row],[Painotetut opiskelija-vuodet]]/Ohj.lask.[[#Totals],[Painotetut opiskelija-vuodet]],0)</f>
        <v>1.0294416402306581E-3</v>
      </c>
      <c r="L151" s="17">
        <f>ROUND(IFERROR('1.1 Jakotaulu'!L$11*Ohj.lask.[[#This Row],[%-osuus 1]],0),0)</f>
        <v>1296552</v>
      </c>
      <c r="M151" s="186">
        <f>IFERROR(ROUND(VLOOKUP($A151,'2.2 Tutk. ja osien pain. pist.'!$A:$Q,COLUMN('2.2 Tutk. ja osien pain. pist.'!P:P),FALSE),1),0)</f>
        <v>22095.599999999999</v>
      </c>
      <c r="N151" s="16">
        <f>IFERROR(Ohj.lask.[[#This Row],[Painotetut pisteet 2]]/Ohj.lask.[[#Totals],[Painotetut pisteet 2]],0)</f>
        <v>1.4184504429727079E-3</v>
      </c>
      <c r="O151" s="23">
        <f>ROUND(IFERROR('1.1 Jakotaulu'!K$12*Ohj.lask.[[#This Row],[%-osuus 2]],0),0)</f>
        <v>520829</v>
      </c>
      <c r="P151" s="187">
        <f>IFERROR(ROUND(VLOOKUP($A151,'2.3 Työll. ja jatko-opisk.'!$A:$K,COLUMN('2.3 Työll. ja jatko-opisk.'!I:I),FALSE),1),0)</f>
        <v>149</v>
      </c>
      <c r="Q151" s="16">
        <f>IFERROR(Ohj.lask.[[#This Row],[Painotetut pisteet 3]]/Ohj.lask.[[#Totals],[Painotetut pisteet 3]],0)</f>
        <v>7.4865756654133794E-4</v>
      </c>
      <c r="R151" s="17">
        <f>ROUND(IFERROR('1.1 Jakotaulu'!L$14*Ohj.lask.[[#This Row],[%-osuus 3]],0),0)</f>
        <v>103085</v>
      </c>
      <c r="S151" s="186">
        <f>IFERROR(ROUND(VLOOKUP($A151,'2.4 Aloittaneet palaute'!$A:$K,COLUMN('2.4 Aloittaneet palaute'!J:J),FALSE),1),0)</f>
        <v>1717.3</v>
      </c>
      <c r="T151" s="20">
        <f>IFERROR(Ohj.lask.[[#This Row],[Painotetut pisteet 4]]/Ohj.lask.[[#Totals],[Painotetut pisteet 4]],0)</f>
        <v>1.0432825887599711E-3</v>
      </c>
      <c r="U151" s="23">
        <f>ROUND(IFERROR('1.1 Jakotaulu'!M$16*Ohj.lask.[[#This Row],[%-osuus 4]],0),0)</f>
        <v>11971</v>
      </c>
      <c r="V151" s="81">
        <f>IFERROR(ROUND(VLOOKUP($A151,'2.5 Päättäneet palaute'!$A:$AC,COLUMN('2.5 Päättäneet palaute'!AB:AB),FALSE),1),0)</f>
        <v>18444.599999999999</v>
      </c>
      <c r="W151" s="20">
        <f>IFERROR(Ohj.lask.[[#This Row],[Painotetut pisteet 5]]/Ohj.lask.[[#Totals],[Painotetut pisteet 5]],0)</f>
        <v>2.1393915566051787E-3</v>
      </c>
      <c r="X151" s="17">
        <f>ROUND(IFERROR('1.1 Jakotaulu'!M$17*Ohj.lask.[[#This Row],[%-osuus 5]],0),0)</f>
        <v>73645</v>
      </c>
      <c r="Y151" s="19">
        <f>IFERROR(Ohj.lask.[[#This Row],[Jaettava € 6]]/Ohj.lask.[[#Totals],[Jaettava € 6]],"")</f>
        <v>1.10818320073225E-3</v>
      </c>
      <c r="Z151" s="23">
        <f>IFERROR(Ohj.lask.[[#This Row],[Jaettava € 1]]+Ohj.lask.[[#This Row],[Jaettava € 2]]+Ohj.lask.[[#This Row],[Jaettava € 3]]+Ohj.lask.[[#This Row],[Jaettava € 4]]+Ohj.lask.[[#This Row],[Jaettava € 5]],"")</f>
        <v>2006082</v>
      </c>
      <c r="AA151" s="17">
        <v>0</v>
      </c>
      <c r="AB151" s="17">
        <v>0</v>
      </c>
      <c r="AC151" s="18">
        <v>0</v>
      </c>
      <c r="AD151" s="17">
        <v>0</v>
      </c>
      <c r="AE151" s="18">
        <v>0</v>
      </c>
      <c r="AF151" s="17">
        <v>0</v>
      </c>
      <c r="AG151" s="18">
        <v>0</v>
      </c>
      <c r="AH151" s="17">
        <v>0</v>
      </c>
      <c r="AI151" s="18">
        <v>150000</v>
      </c>
      <c r="AJ151" s="17">
        <v>0</v>
      </c>
      <c r="AK151" s="18">
        <v>0</v>
      </c>
      <c r="AL151" s="17">
        <v>0</v>
      </c>
      <c r="AM151" s="18">
        <v>0</v>
      </c>
      <c r="AN151" s="23">
        <v>0</v>
      </c>
      <c r="AO151" s="17">
        <v>0</v>
      </c>
      <c r="AP151" s="17">
        <v>0</v>
      </c>
      <c r="AQ151" s="18">
        <f>IFERROR(VLOOKUP(Ohj.lask.[[#This Row],[Y-tunnus]],#REF!,COLUMN(#REF!),FALSE),0)</f>
        <v>0</v>
      </c>
      <c r="AR151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51" s="17">
        <f>Ohj.lask.[[#This Row],[Jaettava € 1]]+Ohj.lask.[[#This Row],[Päätös, € 9]]</f>
        <v>1296552</v>
      </c>
      <c r="AT151" s="113">
        <f>Ohj.lask.[[#This Row],[Jaettava € 2]]</f>
        <v>520829</v>
      </c>
      <c r="AU151" s="17">
        <f>Ohj.lask.[[#This Row],[Jaettava € 3]]+Ohj.lask.[[#This Row],[Jaettava € 4]]+Ohj.lask.[[#This Row],[Jaettava € 5]]</f>
        <v>188701</v>
      </c>
      <c r="AV151" s="42">
        <f>Ohj.lask.[[#This Row],[Jaettava € 6]]+Ohj.lask.[[#This Row],[Päätös, € 9]]</f>
        <v>2006082</v>
      </c>
      <c r="AW151" s="42">
        <v>191877</v>
      </c>
      <c r="AX151" s="23">
        <f>Ohj.lask.[[#This Row],[Perus-, suoritus- ja vaikuttavuusrahoitus yhteensä, €]]+Ohj.lask.[[#This Row],[Alv-korvaus, €]]</f>
        <v>2197959</v>
      </c>
    </row>
    <row r="152" spans="1:50" ht="12.75" x14ac:dyDescent="0.2">
      <c r="A152" s="134" t="s">
        <v>223</v>
      </c>
      <c r="B152" s="14" t="s">
        <v>180</v>
      </c>
      <c r="C152" s="14" t="s">
        <v>222</v>
      </c>
      <c r="D152" s="14" t="s">
        <v>392</v>
      </c>
      <c r="E152" s="14" t="s">
        <v>438</v>
      </c>
      <c r="F152" s="117">
        <v>0</v>
      </c>
      <c r="G152" s="124">
        <f>Ohj.lask.[[#This Row],[Tavoitteelliset opiskelija-vuodet]]-Ohj.lask.[[#This Row],[Järjestämisluvan opisk.vuosien vähimmäismäärä]]</f>
        <v>8</v>
      </c>
      <c r="H152" s="41">
        <v>8</v>
      </c>
      <c r="I152" s="15">
        <f>IFERROR(VLOOKUP($A152,'2.1 Toteut. op.vuodet'!$A:$T,COLUMN('2.1 Toteut. op.vuodet'!T:T),FALSE),0)</f>
        <v>0.42999999999999217</v>
      </c>
      <c r="J152" s="81">
        <f t="shared" si="4"/>
        <v>3.4</v>
      </c>
      <c r="K152" s="16">
        <f>IFERROR(Ohj.lask.[[#This Row],[Painotetut opiskelija-vuodet]]/Ohj.lask.[[#Totals],[Painotetut opiskelija-vuodet]],0)</f>
        <v>1.6603897423075129E-5</v>
      </c>
      <c r="L152" s="17">
        <f>ROUND(IFERROR('1.1 Jakotaulu'!L$11*Ohj.lask.[[#This Row],[%-osuus 1]],0),0)</f>
        <v>20912</v>
      </c>
      <c r="M152" s="186">
        <f>IFERROR(ROUND(VLOOKUP($A152,'2.2 Tutk. ja osien pain. pist.'!$A:$Q,COLUMN('2.2 Tutk. ja osien pain. pist.'!P:P),FALSE),1),0)</f>
        <v>0</v>
      </c>
      <c r="N152" s="16">
        <f>IFERROR(Ohj.lask.[[#This Row],[Painotetut pisteet 2]]/Ohj.lask.[[#Totals],[Painotetut pisteet 2]],0)</f>
        <v>0</v>
      </c>
      <c r="O152" s="23">
        <f>ROUND(IFERROR('1.1 Jakotaulu'!K$12*Ohj.lask.[[#This Row],[%-osuus 2]],0),0)</f>
        <v>0</v>
      </c>
      <c r="P152" s="187">
        <f>IFERROR(ROUND(VLOOKUP($A152,'2.3 Työll. ja jatko-opisk.'!$A:$K,COLUMN('2.3 Työll. ja jatko-opisk.'!I:I),FALSE),1),0)</f>
        <v>0</v>
      </c>
      <c r="Q152" s="16">
        <f>IFERROR(Ohj.lask.[[#This Row],[Painotetut pisteet 3]]/Ohj.lask.[[#Totals],[Painotetut pisteet 3]],0)</f>
        <v>0</v>
      </c>
      <c r="R152" s="17">
        <f>ROUND(IFERROR('1.1 Jakotaulu'!L$14*Ohj.lask.[[#This Row],[%-osuus 3]],0),0)</f>
        <v>0</v>
      </c>
      <c r="S152" s="186">
        <f>IFERROR(ROUND(VLOOKUP($A152,'2.4 Aloittaneet palaute'!$A:$K,COLUMN('2.4 Aloittaneet palaute'!J:J),FALSE),1),0)</f>
        <v>0</v>
      </c>
      <c r="T152" s="20">
        <f>IFERROR(Ohj.lask.[[#This Row],[Painotetut pisteet 4]]/Ohj.lask.[[#Totals],[Painotetut pisteet 4]],0)</f>
        <v>0</v>
      </c>
      <c r="U152" s="23">
        <f>ROUND(IFERROR('1.1 Jakotaulu'!M$16*Ohj.lask.[[#This Row],[%-osuus 4]],0),0)</f>
        <v>0</v>
      </c>
      <c r="V152" s="81">
        <f>IFERROR(ROUND(VLOOKUP($A152,'2.5 Päättäneet palaute'!$A:$AC,COLUMN('2.5 Päättäneet palaute'!AB:AB),FALSE),1),0)</f>
        <v>0</v>
      </c>
      <c r="W152" s="20">
        <f>IFERROR(Ohj.lask.[[#This Row],[Painotetut pisteet 5]]/Ohj.lask.[[#Totals],[Painotetut pisteet 5]],0)</f>
        <v>0</v>
      </c>
      <c r="X152" s="17">
        <f>ROUND(IFERROR('1.1 Jakotaulu'!M$17*Ohj.lask.[[#This Row],[%-osuus 5]],0),0)</f>
        <v>0</v>
      </c>
      <c r="Y152" s="19">
        <f>IFERROR(Ohj.lask.[[#This Row],[Jaettava € 6]]/Ohj.lask.[[#Totals],[Jaettava € 6]],"")</f>
        <v>1.1552033812034011E-5</v>
      </c>
      <c r="Z152" s="23">
        <f>IFERROR(Ohj.lask.[[#This Row],[Jaettava € 1]]+Ohj.lask.[[#This Row],[Jaettava € 2]]+Ohj.lask.[[#This Row],[Jaettava € 3]]+Ohj.lask.[[#This Row],[Jaettava € 4]]+Ohj.lask.[[#This Row],[Jaettava € 5]],"")</f>
        <v>20912</v>
      </c>
      <c r="AA152" s="17">
        <v>0</v>
      </c>
      <c r="AB152" s="17">
        <v>0</v>
      </c>
      <c r="AC152" s="18">
        <v>0</v>
      </c>
      <c r="AD152" s="17">
        <v>0</v>
      </c>
      <c r="AE152" s="18">
        <v>0</v>
      </c>
      <c r="AF152" s="17">
        <v>0</v>
      </c>
      <c r="AG152" s="18">
        <v>0</v>
      </c>
      <c r="AH152" s="17">
        <v>0</v>
      </c>
      <c r="AI152" s="18">
        <v>0</v>
      </c>
      <c r="AJ152" s="17">
        <v>0</v>
      </c>
      <c r="AK152" s="18">
        <v>0</v>
      </c>
      <c r="AL152" s="17">
        <v>0</v>
      </c>
      <c r="AM152" s="18">
        <v>0</v>
      </c>
      <c r="AN152" s="23">
        <v>0</v>
      </c>
      <c r="AO152" s="17">
        <v>0</v>
      </c>
      <c r="AP152" s="17">
        <v>0</v>
      </c>
      <c r="AQ152" s="18">
        <f>IFERROR(VLOOKUP(Ohj.lask.[[#This Row],[Y-tunnus]],#REF!,COLUMN(#REF!),FALSE),0)</f>
        <v>0</v>
      </c>
      <c r="AR152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52" s="17">
        <f>Ohj.lask.[[#This Row],[Jaettava € 1]]+Ohj.lask.[[#This Row],[Päätös, € 9]]</f>
        <v>20912</v>
      </c>
      <c r="AT152" s="113">
        <f>Ohj.lask.[[#This Row],[Jaettava € 2]]</f>
        <v>0</v>
      </c>
      <c r="AU152" s="17">
        <f>Ohj.lask.[[#This Row],[Jaettava € 3]]+Ohj.lask.[[#This Row],[Jaettava € 4]]+Ohj.lask.[[#This Row],[Jaettava € 5]]</f>
        <v>0</v>
      </c>
      <c r="AV152" s="42">
        <f>Ohj.lask.[[#This Row],[Jaettava € 6]]+Ohj.lask.[[#This Row],[Päätös, € 9]]</f>
        <v>20912</v>
      </c>
      <c r="AW152" s="42">
        <v>0</v>
      </c>
      <c r="AX152" s="23">
        <f>Ohj.lask.[[#This Row],[Perus-, suoritus- ja vaikuttavuusrahoitus yhteensä, €]]+Ohj.lask.[[#This Row],[Alv-korvaus, €]]</f>
        <v>20912</v>
      </c>
    </row>
    <row r="153" spans="1:50" ht="12.75" x14ac:dyDescent="0.2">
      <c r="A153" s="134" t="s">
        <v>221</v>
      </c>
      <c r="B153" s="14" t="s">
        <v>142</v>
      </c>
      <c r="C153" s="14" t="s">
        <v>220</v>
      </c>
      <c r="D153" s="14" t="s">
        <v>391</v>
      </c>
      <c r="E153" s="14" t="s">
        <v>438</v>
      </c>
      <c r="F153" s="117">
        <v>1320</v>
      </c>
      <c r="G153" s="124">
        <f>Ohj.lask.[[#This Row],[Tavoitteelliset opiskelija-vuodet]]-Ohj.lask.[[#This Row],[Järjestämisluvan opisk.vuosien vähimmäismäärä]]</f>
        <v>227</v>
      </c>
      <c r="H153" s="41">
        <v>1547</v>
      </c>
      <c r="I153" s="15">
        <f>IFERROR(VLOOKUP($A153,'2.1 Toteut. op.vuodet'!$A:$T,COLUMN('2.1 Toteut. op.vuodet'!T:T),FALSE),0)</f>
        <v>1.2037604231001313</v>
      </c>
      <c r="J153" s="81">
        <f t="shared" si="4"/>
        <v>1862.2</v>
      </c>
      <c r="K153" s="16">
        <f>IFERROR(Ohj.lask.[[#This Row],[Painotetut opiskelija-vuodet]]/Ohj.lask.[[#Totals],[Painotetut opiskelija-vuodet]],0)</f>
        <v>9.0940522886030894E-3</v>
      </c>
      <c r="L153" s="17">
        <f>ROUND(IFERROR('1.1 Jakotaulu'!L$11*Ohj.lask.[[#This Row],[%-osuus 1]],0),0)</f>
        <v>11453695</v>
      </c>
      <c r="M153" s="186">
        <f>IFERROR(ROUND(VLOOKUP($A153,'2.2 Tutk. ja osien pain. pist.'!$A:$Q,COLUMN('2.2 Tutk. ja osien pain. pist.'!P:P),FALSE),1),0)</f>
        <v>155795.9</v>
      </c>
      <c r="N153" s="16">
        <f>IFERROR(Ohj.lask.[[#This Row],[Painotetut pisteet 2]]/Ohj.lask.[[#Totals],[Painotetut pisteet 2]],0)</f>
        <v>1.000148280057259E-2</v>
      </c>
      <c r="O153" s="23">
        <f>ROUND(IFERROR('1.1 Jakotaulu'!K$12*Ohj.lask.[[#This Row],[%-osuus 2]],0),0)</f>
        <v>3672364</v>
      </c>
      <c r="P153" s="187">
        <f>IFERROR(ROUND(VLOOKUP($A153,'2.3 Työll. ja jatko-opisk.'!$A:$K,COLUMN('2.3 Työll. ja jatko-opisk.'!I:I),FALSE),1),0)</f>
        <v>1942.7</v>
      </c>
      <c r="Q153" s="16">
        <f>IFERROR(Ohj.lask.[[#This Row],[Painotetut pisteet 3]]/Ohj.lask.[[#Totals],[Painotetut pisteet 3]],0)</f>
        <v>9.7611882853681688E-3</v>
      </c>
      <c r="R153" s="17">
        <f>ROUND(IFERROR('1.1 Jakotaulu'!L$14*Ohj.lask.[[#This Row],[%-osuus 3]],0),0)</f>
        <v>1344050</v>
      </c>
      <c r="S153" s="186">
        <f>IFERROR(ROUND(VLOOKUP($A153,'2.4 Aloittaneet palaute'!$A:$K,COLUMN('2.4 Aloittaneet palaute'!J:J),FALSE),1),0)</f>
        <v>13417.8</v>
      </c>
      <c r="T153" s="20">
        <f>IFERROR(Ohj.lask.[[#This Row],[Painotetut pisteet 4]]/Ohj.lask.[[#Totals],[Painotetut pisteet 4]],0)</f>
        <v>8.1514919463480696E-3</v>
      </c>
      <c r="U153" s="23">
        <f>ROUND(IFERROR('1.1 Jakotaulu'!M$16*Ohj.lask.[[#This Row],[%-osuus 4]],0),0)</f>
        <v>93534</v>
      </c>
      <c r="V153" s="81">
        <f>IFERROR(ROUND(VLOOKUP($A153,'2.5 Päättäneet palaute'!$A:$AC,COLUMN('2.5 Päättäneet palaute'!AB:AB),FALSE),1),0)</f>
        <v>68695.5</v>
      </c>
      <c r="W153" s="20">
        <f>IFERROR(Ohj.lask.[[#This Row],[Painotetut pisteet 5]]/Ohj.lask.[[#Totals],[Painotetut pisteet 5]],0)</f>
        <v>7.9679999933189687E-3</v>
      </c>
      <c r="X153" s="17">
        <f>ROUND(IFERROR('1.1 Jakotaulu'!M$17*Ohj.lask.[[#This Row],[%-osuus 5]],0),0)</f>
        <v>274285</v>
      </c>
      <c r="Y153" s="19">
        <f>IFERROR(Ohj.lask.[[#This Row],[Jaettava € 6]]/Ohj.lask.[[#Totals],[Jaettava € 6]],"")</f>
        <v>9.3014687060345349E-3</v>
      </c>
      <c r="Z153" s="23">
        <f>IFERROR(Ohj.lask.[[#This Row],[Jaettava € 1]]+Ohj.lask.[[#This Row],[Jaettava € 2]]+Ohj.lask.[[#This Row],[Jaettava € 3]]+Ohj.lask.[[#This Row],[Jaettava € 4]]+Ohj.lask.[[#This Row],[Jaettava € 5]],"")</f>
        <v>16837928</v>
      </c>
      <c r="AA153" s="17">
        <v>0</v>
      </c>
      <c r="AB153" s="17">
        <v>0</v>
      </c>
      <c r="AC153" s="18">
        <v>0</v>
      </c>
      <c r="AD153" s="17">
        <v>0</v>
      </c>
      <c r="AE153" s="18">
        <v>0</v>
      </c>
      <c r="AF153" s="17">
        <v>0</v>
      </c>
      <c r="AG153" s="18">
        <v>148685</v>
      </c>
      <c r="AH153" s="17">
        <v>0</v>
      </c>
      <c r="AI153" s="18">
        <v>0</v>
      </c>
      <c r="AJ153" s="17">
        <v>0</v>
      </c>
      <c r="AK153" s="18">
        <v>0</v>
      </c>
      <c r="AL153" s="17">
        <v>0</v>
      </c>
      <c r="AM153" s="18">
        <v>0</v>
      </c>
      <c r="AN153" s="23">
        <v>0</v>
      </c>
      <c r="AO153" s="17">
        <v>0</v>
      </c>
      <c r="AP153" s="17">
        <v>0</v>
      </c>
      <c r="AQ153" s="18">
        <f>IFERROR(VLOOKUP(Ohj.lask.[[#This Row],[Y-tunnus]],#REF!,COLUMN(#REF!),FALSE),0)</f>
        <v>0</v>
      </c>
      <c r="AR153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53" s="17">
        <f>Ohj.lask.[[#This Row],[Jaettava € 1]]+Ohj.lask.[[#This Row],[Päätös, € 9]]</f>
        <v>11453695</v>
      </c>
      <c r="AT153" s="113">
        <f>Ohj.lask.[[#This Row],[Jaettava € 2]]</f>
        <v>3672364</v>
      </c>
      <c r="AU153" s="17">
        <f>Ohj.lask.[[#This Row],[Jaettava € 3]]+Ohj.lask.[[#This Row],[Jaettava € 4]]+Ohj.lask.[[#This Row],[Jaettava € 5]]</f>
        <v>1711869</v>
      </c>
      <c r="AV153" s="42">
        <f>Ohj.lask.[[#This Row],[Jaettava € 6]]+Ohj.lask.[[#This Row],[Päätös, € 9]]</f>
        <v>16837928</v>
      </c>
      <c r="AW153" s="42">
        <v>0</v>
      </c>
      <c r="AX153" s="23">
        <f>Ohj.lask.[[#This Row],[Perus-, suoritus- ja vaikuttavuusrahoitus yhteensä, €]]+Ohj.lask.[[#This Row],[Alv-korvaus, €]]</f>
        <v>16837928</v>
      </c>
    </row>
    <row r="154" spans="1:50" ht="12.75" x14ac:dyDescent="0.2">
      <c r="A154" s="134" t="s">
        <v>219</v>
      </c>
      <c r="B154" s="14" t="s">
        <v>143</v>
      </c>
      <c r="C154" s="14" t="s">
        <v>218</v>
      </c>
      <c r="D154" s="14" t="s">
        <v>391</v>
      </c>
      <c r="E154" s="14" t="s">
        <v>438</v>
      </c>
      <c r="F154" s="117">
        <v>1472</v>
      </c>
      <c r="G154" s="124">
        <f>Ohj.lask.[[#This Row],[Tavoitteelliset opiskelija-vuodet]]-Ohj.lask.[[#This Row],[Järjestämisluvan opisk.vuosien vähimmäismäärä]]</f>
        <v>184</v>
      </c>
      <c r="H154" s="41">
        <v>1656</v>
      </c>
      <c r="I154" s="15">
        <f>IFERROR(VLOOKUP($A154,'2.1 Toteut. op.vuodet'!$A:$T,COLUMN('2.1 Toteut. op.vuodet'!T:T),FALSE),0)</f>
        <v>1.1026785223157474</v>
      </c>
      <c r="J154" s="81">
        <f t="shared" si="4"/>
        <v>1826</v>
      </c>
      <c r="K154" s="16">
        <f>IFERROR(Ohj.lask.[[#This Row],[Painotetut opiskelija-vuodet]]/Ohj.lask.[[#Totals],[Painotetut opiskelija-vuodet]],0)</f>
        <v>8.9172696160397594E-3</v>
      </c>
      <c r="L154" s="17">
        <f>ROUND(IFERROR('1.1 Jakotaulu'!L$11*Ohj.lask.[[#This Row],[%-osuus 1]],0),0)</f>
        <v>11231042</v>
      </c>
      <c r="M154" s="186">
        <f>IFERROR(ROUND(VLOOKUP($A154,'2.2 Tutk. ja osien pain. pist.'!$A:$Q,COLUMN('2.2 Tutk. ja osien pain. pist.'!P:P),FALSE),1),0)</f>
        <v>138805.1</v>
      </c>
      <c r="N154" s="16">
        <f>IFERROR(Ohj.lask.[[#This Row],[Painotetut pisteet 2]]/Ohj.lask.[[#Totals],[Painotetut pisteet 2]],0)</f>
        <v>8.910740399983302E-3</v>
      </c>
      <c r="O154" s="23">
        <f>ROUND(IFERROR('1.1 Jakotaulu'!K$12*Ohj.lask.[[#This Row],[%-osuus 2]],0),0)</f>
        <v>3271863</v>
      </c>
      <c r="P154" s="187">
        <f>IFERROR(ROUND(VLOOKUP($A154,'2.3 Työll. ja jatko-opisk.'!$A:$K,COLUMN('2.3 Työll. ja jatko-opisk.'!I:I),FALSE),1),0)</f>
        <v>1839.1</v>
      </c>
      <c r="Q154" s="16">
        <f>IFERROR(Ohj.lask.[[#This Row],[Painotetut pisteet 3]]/Ohj.lask.[[#Totals],[Painotetut pisteet 3]],0)</f>
        <v>9.2406451719877492E-3</v>
      </c>
      <c r="R154" s="17">
        <f>ROUND(IFERROR('1.1 Jakotaulu'!L$14*Ohj.lask.[[#This Row],[%-osuus 3]],0),0)</f>
        <v>1272374</v>
      </c>
      <c r="S154" s="186">
        <f>IFERROR(ROUND(VLOOKUP($A154,'2.4 Aloittaneet palaute'!$A:$K,COLUMN('2.4 Aloittaneet palaute'!J:J),FALSE),1),0)</f>
        <v>20917.2</v>
      </c>
      <c r="T154" s="20">
        <f>IFERROR(Ohj.lask.[[#This Row],[Painotetut pisteet 4]]/Ohj.lask.[[#Totals],[Painotetut pisteet 4]],0)</f>
        <v>1.2707477182559872E-2</v>
      </c>
      <c r="U154" s="23">
        <f>ROUND(IFERROR('1.1 Jakotaulu'!M$16*Ohj.lask.[[#This Row],[%-osuus 4]],0),0)</f>
        <v>145811</v>
      </c>
      <c r="V154" s="81">
        <f>IFERROR(ROUND(VLOOKUP($A154,'2.5 Päättäneet palaute'!$A:$AC,COLUMN('2.5 Päättäneet palaute'!AB:AB),FALSE),1),0)</f>
        <v>92106.2</v>
      </c>
      <c r="W154" s="20">
        <f>IFERROR(Ohj.lask.[[#This Row],[Painotetut pisteet 5]]/Ohj.lask.[[#Totals],[Painotetut pisteet 5]],0)</f>
        <v>1.0683410135811451E-2</v>
      </c>
      <c r="X154" s="17">
        <f>ROUND(IFERROR('1.1 Jakotaulu'!M$17*Ohj.lask.[[#This Row],[%-osuus 5]],0),0)</f>
        <v>367758</v>
      </c>
      <c r="Y154" s="19">
        <f>IFERROR(Ohj.lask.[[#This Row],[Jaettava € 6]]/Ohj.lask.[[#Totals],[Jaettava € 6]],"")</f>
        <v>8.9981504808283562E-3</v>
      </c>
      <c r="Z154" s="23">
        <f>IFERROR(Ohj.lask.[[#This Row],[Jaettava € 1]]+Ohj.lask.[[#This Row],[Jaettava € 2]]+Ohj.lask.[[#This Row],[Jaettava € 3]]+Ohj.lask.[[#This Row],[Jaettava € 4]]+Ohj.lask.[[#This Row],[Jaettava € 5]],"")</f>
        <v>16288848</v>
      </c>
      <c r="AA154" s="17">
        <v>0</v>
      </c>
      <c r="AB154" s="17">
        <v>0</v>
      </c>
      <c r="AC154" s="18">
        <v>0</v>
      </c>
      <c r="AD154" s="17">
        <v>0</v>
      </c>
      <c r="AE154" s="18">
        <v>0</v>
      </c>
      <c r="AF154" s="17">
        <v>0</v>
      </c>
      <c r="AG154" s="18">
        <v>200000</v>
      </c>
      <c r="AH154" s="17">
        <v>0</v>
      </c>
      <c r="AI154" s="18">
        <v>0</v>
      </c>
      <c r="AJ154" s="17">
        <v>0</v>
      </c>
      <c r="AK154" s="18">
        <v>0</v>
      </c>
      <c r="AL154" s="17">
        <v>0</v>
      </c>
      <c r="AM154" s="18">
        <v>0</v>
      </c>
      <c r="AN154" s="23">
        <v>0</v>
      </c>
      <c r="AO154" s="17">
        <v>0</v>
      </c>
      <c r="AP154" s="17">
        <v>0</v>
      </c>
      <c r="AQ154" s="18">
        <f>IFERROR(VLOOKUP(Ohj.lask.[[#This Row],[Y-tunnus]],#REF!,COLUMN(#REF!),FALSE),0)</f>
        <v>0</v>
      </c>
      <c r="AR154" s="125">
        <f>Ohj.lask.[[#This Row],[Päätös, € 1]]+Ohj.lask.[[#This Row],[Päätös, € 2]]+Ohj.lask.[[#This Row],[Päätös, € 3]]+Ohj.lask.[[#This Row],[Päätös, € 4]]+Ohj.lask.[[#This Row],[Päätös, € 5]]+Ohj.lask.[[#This Row],[Päätös, € 6]]+Ohj.lask.[[#This Row],[Päätös, € 7]]+Ohj.lask.[[#This Row],[Päätös, € 8]]</f>
        <v>0</v>
      </c>
      <c r="AS154" s="17">
        <f>Ohj.lask.[[#This Row],[Jaettava € 1]]+Ohj.lask.[[#This Row],[Päätös, € 9]]</f>
        <v>11231042</v>
      </c>
      <c r="AT154" s="113">
        <f>Ohj.lask.[[#This Row],[Jaettava € 2]]</f>
        <v>3271863</v>
      </c>
      <c r="AU154" s="17">
        <f>Ohj.lask.[[#This Row],[Jaettava € 3]]+Ohj.lask.[[#This Row],[Jaettava € 4]]+Ohj.lask.[[#This Row],[Jaettava € 5]]</f>
        <v>1785943</v>
      </c>
      <c r="AV154" s="42">
        <f>Ohj.lask.[[#This Row],[Jaettava € 6]]+Ohj.lask.[[#This Row],[Päätös, € 9]]</f>
        <v>16288848</v>
      </c>
      <c r="AW154" s="42">
        <v>0</v>
      </c>
      <c r="AX154" s="23">
        <f>Ohj.lask.[[#This Row],[Perus-, suoritus- ja vaikuttavuusrahoitus yhteensä, €]]+Ohj.lask.[[#This Row],[Alv-korvaus, €]]</f>
        <v>16288848</v>
      </c>
    </row>
    <row r="155" spans="1:50" ht="12.75" x14ac:dyDescent="0.2">
      <c r="A155" s="185" t="s">
        <v>16</v>
      </c>
      <c r="B155" s="183">
        <f>COUNTIF(Ohj.lask.[Nimi],"?*")</f>
        <v>149</v>
      </c>
      <c r="C155" s="183"/>
      <c r="D155" s="183"/>
      <c r="E155" s="183"/>
      <c r="F155" s="227">
        <f>SUM(Ohj.lask.[Järjestämisluvan opisk.vuosien vähimmäismäärä])</f>
        <v>157930</v>
      </c>
      <c r="G155" s="228">
        <f>SUM(Ohj.lask.[Suoritepäätöksellä jaettavat opisk.vuodet (luvan ylittävä osuus)])</f>
        <v>21527</v>
      </c>
      <c r="H155" s="228">
        <f>SUM(Ohj.lask.[Tavoitteelliset opiskelija-vuodet])</f>
        <v>179457</v>
      </c>
      <c r="I155" s="185"/>
      <c r="J155" s="182">
        <f>SUM(Ohj.lask.[Painotetut opiskelija-vuodet])</f>
        <v>204771.1999999999</v>
      </c>
      <c r="K155" s="218">
        <f>SUM(Ohj.lask.[%-osuus 1])</f>
        <v>1.0000000000000007</v>
      </c>
      <c r="L155" s="109">
        <f>SUM(Ohj.lask.[Jaettava € 1])</f>
        <v>1259471007</v>
      </c>
      <c r="M155" s="229">
        <f>SUM(Ohj.lask.[Painotetut pisteet 2])</f>
        <v>15577280.200000005</v>
      </c>
      <c r="N155" s="218">
        <f>SUM(Ohj.lask.[%-osuus 2])</f>
        <v>0.99999999999999978</v>
      </c>
      <c r="O155" s="110">
        <f>SUM(Ohj.lask.[Jaettava € 2])</f>
        <v>367182000</v>
      </c>
      <c r="P155" s="182">
        <f>SUM(Ohj.lask.[Painotetut pisteet 3])</f>
        <v>199022.89999999994</v>
      </c>
      <c r="Q155" s="218">
        <f>SUM(Ohj.lask.[%-osuus 3])</f>
        <v>1.0000000000000004</v>
      </c>
      <c r="R155" s="109">
        <f>SUM(Ohj.lask.[Jaettava € 3])</f>
        <v>137693247</v>
      </c>
      <c r="S155" s="229">
        <f>SUM(Ohj.lask.[Painotetut pisteet 4])</f>
        <v>1646054.5000000002</v>
      </c>
      <c r="T155" s="218">
        <f>SUM(Ohj.lask.[%-osuus 4])</f>
        <v>1</v>
      </c>
      <c r="U155" s="110">
        <f>SUM(Ohj.lask.[Jaettava € 4])</f>
        <v>11474436</v>
      </c>
      <c r="V155" s="182">
        <f>SUM(Ohj.lask.[Painotetut pisteet 5])</f>
        <v>8621423.1999999993</v>
      </c>
      <c r="W155" s="218">
        <f>SUM(Ohj.lask.[%-osuus 5])</f>
        <v>1.0000000000000002</v>
      </c>
      <c r="X155" s="109">
        <f>SUM(Ohj.lask.[Jaettava € 5])</f>
        <v>34423319</v>
      </c>
      <c r="Y155" s="219">
        <f>SUM(Ohj.lask.[%-osuus 6])</f>
        <v>0.99999999999999967</v>
      </c>
      <c r="Z155" s="110">
        <f>SUM(Ohj.lask.[Jaettava € 6])</f>
        <v>1810244009</v>
      </c>
      <c r="AA155" s="109">
        <f>SUM(Ohj.lask.[Hakemus, € 1])</f>
        <v>16957491</v>
      </c>
      <c r="AB155" s="109">
        <f>SUM(Ohj.lask.[Päätös, € 1])</f>
        <v>8405000</v>
      </c>
      <c r="AC155" s="220">
        <f>SUM(Ohj.lask.[Hakemus, € 2])</f>
        <v>2392700</v>
      </c>
      <c r="AD155" s="109">
        <f>SUM(Ohj.lask.[Päätös, € 2])</f>
        <v>50000</v>
      </c>
      <c r="AE155" s="220">
        <f>SUM(Ohj.lask.[Hakemus, € 3])</f>
        <v>5877000</v>
      </c>
      <c r="AF155" s="109">
        <f>SUM(Ohj.lask.[Päätös, € 3])</f>
        <v>45000</v>
      </c>
      <c r="AG155" s="220">
        <f>SUM(Ohj.lask.[Hakemus, € 4])</f>
        <v>10028126</v>
      </c>
      <c r="AH155" s="109">
        <f>SUM(Ohj.lask.[Päätös, € 4])</f>
        <v>0</v>
      </c>
      <c r="AI155" s="220">
        <f>SUM(Ohj.lask.[Hakemus, € 5])</f>
        <v>1881700</v>
      </c>
      <c r="AJ155" s="109">
        <f>SUM(Ohj.lask.[Päätös, € 5])</f>
        <v>1165000</v>
      </c>
      <c r="AK155" s="220">
        <f>SUM(Ohj.lask.[Hakemus, € 6])</f>
        <v>7605708</v>
      </c>
      <c r="AL155" s="110">
        <f>SUM(Ohj.lask.[Päätös, € 6])</f>
        <v>0</v>
      </c>
      <c r="AM155" s="220">
        <f>SUM(Ohj.lask.[Hakemus, € 7])</f>
        <v>4924000</v>
      </c>
      <c r="AN155" s="110">
        <f>SUM(Ohj.lask.[Päätös, € 7])</f>
        <v>2500000</v>
      </c>
      <c r="AO155" s="109">
        <f>SUM(Ohj.lask.[Hakemus, € 8])</f>
        <v>1223600</v>
      </c>
      <c r="AP155" s="109">
        <f>SUM(Ohj.lask.[Päätös, € 8])</f>
        <v>500000</v>
      </c>
      <c r="AQ155" s="220">
        <f>SUM(Ohj.lask.[Hakemus, € 9])</f>
        <v>0</v>
      </c>
      <c r="AR155" s="230">
        <f>SUM(Ohj.lask.[Päätös, € 9])</f>
        <v>12665000</v>
      </c>
      <c r="AS155" s="221">
        <f>SUM(Ohj.lask.[Suoriteperusteinen (opiskelijavuosiin perustuva) sekä harkinnanvarainen korotus, €])</f>
        <v>1272136007</v>
      </c>
      <c r="AT155" s="221">
        <f>SUM(Ohj.lask.[Suoritusrahoitus, €])</f>
        <v>367182000</v>
      </c>
      <c r="AU155" s="221">
        <f>SUM(Ohj.lask.[Työllistymiseen ja jatko-opintoihin siirtymiseen perustuva sekä opiskelija-palautteisiin perustuva, €])</f>
        <v>183591002</v>
      </c>
      <c r="AV155" s="221">
        <f>SUM(Ohj.lask.[Perus-, suoritus- ja vaikuttavuusrahoitus yhteensä, €])</f>
        <v>1822909009</v>
      </c>
      <c r="AW155" s="221">
        <f>SUM(Ohj.lask.[Alv-korvaus, €])</f>
        <v>31596397</v>
      </c>
      <c r="AX155" s="221">
        <f>SUM(Ohj.lask.[Koko rahoitus + 
alv-korvaus, €])</f>
        <v>1854505406</v>
      </c>
    </row>
    <row r="156" spans="1:50" x14ac:dyDescent="0.25">
      <c r="AC156" s="9"/>
      <c r="AD156" s="9"/>
      <c r="AV156" s="41"/>
      <c r="AW156" s="17"/>
      <c r="AX156" s="17"/>
    </row>
    <row r="157" spans="1:50" x14ac:dyDescent="0.25">
      <c r="N157"/>
      <c r="O157"/>
      <c r="P157"/>
      <c r="Q157"/>
      <c r="R157"/>
      <c r="AC157" s="9"/>
      <c r="AD157" s="9"/>
      <c r="AT157" s="9"/>
      <c r="AV157" s="9"/>
    </row>
    <row r="158" spans="1:50" x14ac:dyDescent="0.25">
      <c r="N158"/>
      <c r="O158"/>
      <c r="P158"/>
      <c r="Q158"/>
      <c r="R158"/>
      <c r="AC158" s="9"/>
      <c r="AD158" s="9"/>
      <c r="AU158" s="11"/>
      <c r="AV158" s="111"/>
    </row>
    <row r="159" spans="1:50" x14ac:dyDescent="0.25">
      <c r="N159"/>
      <c r="O159"/>
      <c r="P159"/>
      <c r="Q159"/>
      <c r="R159"/>
      <c r="AC159" s="9"/>
      <c r="AD159" s="9"/>
      <c r="AU159" s="11"/>
      <c r="AV159" s="111"/>
    </row>
    <row r="160" spans="1:50" x14ac:dyDescent="0.25">
      <c r="N160"/>
      <c r="O160"/>
      <c r="P160"/>
      <c r="Q160"/>
      <c r="R160"/>
      <c r="AC160" s="9"/>
      <c r="AD160" s="9"/>
      <c r="AU160" s="11"/>
      <c r="AV160" s="111"/>
    </row>
    <row r="161" spans="29:48" x14ac:dyDescent="0.25">
      <c r="AC161" s="9"/>
      <c r="AD161" s="9"/>
      <c r="AU161" s="11"/>
      <c r="AV161" s="111"/>
    </row>
    <row r="162" spans="29:48" x14ac:dyDescent="0.25">
      <c r="AC162" s="9"/>
      <c r="AD162" s="9"/>
      <c r="AU162" s="11"/>
      <c r="AV162" s="111"/>
    </row>
    <row r="175" spans="29:48" x14ac:dyDescent="0.25">
      <c r="AC175" s="9"/>
      <c r="AD175" s="9"/>
    </row>
    <row r="318" spans="1:30" x14ac:dyDescent="0.25">
      <c r="A318" s="9" t="s">
        <v>12</v>
      </c>
      <c r="AC318" s="9"/>
      <c r="AD318" s="9"/>
    </row>
    <row r="319" spans="1:30" x14ac:dyDescent="0.25">
      <c r="A319" s="9" t="s">
        <v>12</v>
      </c>
      <c r="AC319" s="9"/>
      <c r="AD319" s="9"/>
    </row>
    <row r="320" spans="1:30" x14ac:dyDescent="0.25">
      <c r="A320" s="9" t="s">
        <v>12</v>
      </c>
      <c r="AC320" s="9"/>
      <c r="AD320" s="9"/>
    </row>
    <row r="321" spans="1:30" x14ac:dyDescent="0.25">
      <c r="A321" s="9" t="s">
        <v>12</v>
      </c>
      <c r="AC321" s="9"/>
      <c r="AD321" s="9"/>
    </row>
    <row r="322" spans="1:30" x14ac:dyDescent="0.25">
      <c r="A322" s="9" t="s">
        <v>12</v>
      </c>
      <c r="AC322" s="9"/>
      <c r="AD322" s="9"/>
    </row>
    <row r="323" spans="1:30" x14ac:dyDescent="0.25">
      <c r="A323" s="9" t="s">
        <v>12</v>
      </c>
      <c r="AC323" s="9"/>
      <c r="AD323" s="9"/>
    </row>
    <row r="324" spans="1:30" x14ac:dyDescent="0.25">
      <c r="A324" s="9" t="s">
        <v>12</v>
      </c>
      <c r="AC324" s="9"/>
      <c r="AD324" s="9"/>
    </row>
    <row r="325" spans="1:30" x14ac:dyDescent="0.25">
      <c r="A325" s="9" t="s">
        <v>12</v>
      </c>
      <c r="AC325" s="9"/>
      <c r="AD325" s="9"/>
    </row>
    <row r="326" spans="1:30" x14ac:dyDescent="0.25">
      <c r="A326" s="9" t="s">
        <v>12</v>
      </c>
      <c r="AC326" s="9"/>
      <c r="AD326" s="9"/>
    </row>
    <row r="327" spans="1:30" x14ac:dyDescent="0.25">
      <c r="A327" s="9" t="s">
        <v>12</v>
      </c>
      <c r="AC327" s="9"/>
      <c r="AD327" s="9"/>
    </row>
    <row r="328" spans="1:30" x14ac:dyDescent="0.25">
      <c r="A328" s="9" t="s">
        <v>12</v>
      </c>
      <c r="AC328" s="9"/>
      <c r="AD328" s="9"/>
    </row>
    <row r="329" spans="1:30" x14ac:dyDescent="0.25">
      <c r="AC329" s="9"/>
      <c r="AD329" s="9"/>
    </row>
  </sheetData>
  <mergeCells count="28">
    <mergeCell ref="AE3:AF4"/>
    <mergeCell ref="AG3:AH4"/>
    <mergeCell ref="AX3:AX4"/>
    <mergeCell ref="AS2:AV2"/>
    <mergeCell ref="AM3:AN4"/>
    <mergeCell ref="AO3:AP4"/>
    <mergeCell ref="AW3:AW4"/>
    <mergeCell ref="AT3:AT4"/>
    <mergeCell ref="AU3:AU4"/>
    <mergeCell ref="AQ3:AR4"/>
    <mergeCell ref="AS3:AS4"/>
    <mergeCell ref="AV3:AV4"/>
    <mergeCell ref="F4:L4"/>
    <mergeCell ref="F2:I2"/>
    <mergeCell ref="F3:L3"/>
    <mergeCell ref="AK3:AL4"/>
    <mergeCell ref="AA2:AF2"/>
    <mergeCell ref="M3:O3"/>
    <mergeCell ref="AI3:AJ4"/>
    <mergeCell ref="M4:O4"/>
    <mergeCell ref="Y4:Z4"/>
    <mergeCell ref="V4:X4"/>
    <mergeCell ref="P4:R4"/>
    <mergeCell ref="S4:U4"/>
    <mergeCell ref="Y3:Z3"/>
    <mergeCell ref="AA3:AB4"/>
    <mergeCell ref="AC3:AD4"/>
    <mergeCell ref="P3:X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ul7">
    <tabColor theme="4" tint="0.59999389629810485"/>
  </sheetPr>
  <dimension ref="A1:AI225"/>
  <sheetViews>
    <sheetView zoomScale="90" zoomScaleNormal="90" workbookViewId="0">
      <pane xSplit="2" ySplit="5" topLeftCell="C93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1" max="1" width="11.28515625" style="9" customWidth="1"/>
    <col min="2" max="2" width="42.140625" style="9" customWidth="1"/>
    <col min="3" max="3" width="18.5703125" style="9" customWidth="1"/>
    <col min="4" max="4" width="16.42578125" style="9" customWidth="1"/>
    <col min="5" max="8" width="13.140625" style="9" customWidth="1"/>
    <col min="9" max="11" width="13.140625" style="22" customWidth="1"/>
    <col min="12" max="13" width="25.5703125" style="22" customWidth="1"/>
    <col min="14" max="15" width="13.140625" customWidth="1"/>
    <col min="16" max="17" width="25.5703125" customWidth="1"/>
    <col min="18" max="19" width="13.140625" customWidth="1"/>
    <col min="20" max="21" width="25.5703125" customWidth="1"/>
    <col min="22" max="23" width="13.140625" customWidth="1"/>
    <col min="24" max="25" width="16.7109375" customWidth="1"/>
    <col min="26" max="27" width="13.140625" customWidth="1"/>
    <col min="28" max="29" width="16.7109375" customWidth="1"/>
    <col min="30" max="31" width="13.140625" customWidth="1"/>
    <col min="32" max="33" width="16.7109375" customWidth="1"/>
    <col min="34" max="35" width="13.140625" customWidth="1"/>
  </cols>
  <sheetData>
    <row r="1" spans="1:35" x14ac:dyDescent="0.25">
      <c r="A1" s="10" t="s">
        <v>506</v>
      </c>
      <c r="C1" s="10"/>
      <c r="D1" s="10"/>
      <c r="E1" s="22"/>
      <c r="F1" s="22"/>
      <c r="G1" s="22"/>
      <c r="L1" s="41"/>
      <c r="M1" s="10"/>
      <c r="N1" s="10"/>
      <c r="O1" s="10"/>
      <c r="P1" s="10"/>
      <c r="Q1" s="41"/>
      <c r="R1" s="41"/>
      <c r="S1" s="10"/>
      <c r="T1" s="10"/>
      <c r="U1" s="10"/>
      <c r="V1" s="10"/>
      <c r="W1" s="10"/>
      <c r="AB1" s="201"/>
      <c r="AC1" s="201"/>
      <c r="AD1" s="201"/>
      <c r="AE1" s="201"/>
    </row>
    <row r="2" spans="1:35" ht="25.5" customHeight="1" x14ac:dyDescent="0.25">
      <c r="A2" s="307" t="s">
        <v>547</v>
      </c>
      <c r="B2" s="307"/>
      <c r="C2" s="21"/>
      <c r="D2" s="46"/>
      <c r="E2" s="311" t="s">
        <v>619</v>
      </c>
      <c r="F2" s="312"/>
      <c r="G2" s="312"/>
      <c r="H2" s="312"/>
      <c r="I2" s="312"/>
      <c r="J2" s="312"/>
      <c r="K2" s="313"/>
      <c r="L2" s="300" t="s">
        <v>626</v>
      </c>
      <c r="M2" s="301"/>
      <c r="N2" s="301"/>
      <c r="O2" s="301"/>
      <c r="P2" s="168"/>
      <c r="Q2" s="168"/>
      <c r="R2" s="168"/>
      <c r="S2" s="169"/>
      <c r="T2" s="139"/>
      <c r="U2" s="139"/>
      <c r="V2" s="139"/>
      <c r="W2" s="139"/>
      <c r="X2" s="302" t="s">
        <v>557</v>
      </c>
      <c r="Y2" s="303"/>
      <c r="Z2" s="303"/>
      <c r="AA2" s="303"/>
      <c r="AB2" s="302"/>
      <c r="AC2" s="303"/>
      <c r="AD2" s="303"/>
      <c r="AE2" s="303"/>
      <c r="AF2" s="302"/>
      <c r="AG2" s="303"/>
      <c r="AH2" s="303"/>
      <c r="AI2" s="317"/>
    </row>
    <row r="3" spans="1:35" ht="15" customHeight="1" x14ac:dyDescent="0.25">
      <c r="A3" s="307"/>
      <c r="B3" s="307"/>
      <c r="C3" s="32"/>
      <c r="D3" s="32"/>
      <c r="E3" s="35"/>
      <c r="F3" s="38"/>
      <c r="G3" s="38"/>
      <c r="H3" s="35"/>
      <c r="I3" s="36"/>
      <c r="J3" s="36"/>
      <c r="K3" s="38"/>
      <c r="L3" s="314" t="s">
        <v>545</v>
      </c>
      <c r="M3" s="315"/>
      <c r="N3" s="315"/>
      <c r="O3" s="316"/>
      <c r="P3" s="314" t="s">
        <v>555</v>
      </c>
      <c r="Q3" s="315"/>
      <c r="R3" s="315"/>
      <c r="S3" s="316"/>
      <c r="T3" s="314" t="s">
        <v>556</v>
      </c>
      <c r="U3" s="315"/>
      <c r="V3" s="315"/>
      <c r="W3" s="316"/>
      <c r="X3" s="304" t="s">
        <v>558</v>
      </c>
      <c r="Y3" s="305"/>
      <c r="Z3" s="305"/>
      <c r="AA3" s="306"/>
      <c r="AB3" s="304" t="s">
        <v>562</v>
      </c>
      <c r="AC3" s="305"/>
      <c r="AD3" s="305"/>
      <c r="AE3" s="306"/>
      <c r="AF3" s="304" t="s">
        <v>573</v>
      </c>
      <c r="AG3" s="305"/>
      <c r="AH3" s="305"/>
      <c r="AI3" s="306"/>
    </row>
    <row r="4" spans="1:35" ht="12.75" customHeight="1" x14ac:dyDescent="0.25">
      <c r="A4" s="307"/>
      <c r="B4" s="307"/>
      <c r="C4" s="33"/>
      <c r="D4" s="33"/>
      <c r="E4" s="308" t="s">
        <v>508</v>
      </c>
      <c r="F4" s="310"/>
      <c r="G4" s="38"/>
      <c r="H4" s="308" t="s">
        <v>394</v>
      </c>
      <c r="I4" s="309"/>
      <c r="J4" s="309"/>
      <c r="K4" s="310"/>
      <c r="L4" s="314"/>
      <c r="M4" s="315"/>
      <c r="N4" s="315"/>
      <c r="O4" s="316"/>
      <c r="P4" s="314"/>
      <c r="Q4" s="315"/>
      <c r="R4" s="315"/>
      <c r="S4" s="316"/>
      <c r="T4" s="314"/>
      <c r="U4" s="315"/>
      <c r="V4" s="315"/>
      <c r="W4" s="316"/>
      <c r="X4" s="304"/>
      <c r="Y4" s="305"/>
      <c r="Z4" s="305"/>
      <c r="AA4" s="306"/>
      <c r="AB4" s="304"/>
      <c r="AC4" s="305"/>
      <c r="AD4" s="305"/>
      <c r="AE4" s="306"/>
      <c r="AF4" s="304"/>
      <c r="AG4" s="305"/>
      <c r="AH4" s="305"/>
      <c r="AI4" s="306"/>
    </row>
    <row r="5" spans="1:35" ht="48.75" customHeight="1" x14ac:dyDescent="0.25">
      <c r="A5" s="32" t="s">
        <v>389</v>
      </c>
      <c r="B5" s="34" t="s">
        <v>388</v>
      </c>
      <c r="C5" s="34" t="s">
        <v>399</v>
      </c>
      <c r="D5" s="34" t="s">
        <v>398</v>
      </c>
      <c r="E5" s="37" t="s">
        <v>509</v>
      </c>
      <c r="F5" s="171" t="s">
        <v>510</v>
      </c>
      <c r="G5" s="171" t="s">
        <v>400</v>
      </c>
      <c r="H5" s="37" t="s">
        <v>401</v>
      </c>
      <c r="I5" s="47" t="s">
        <v>402</v>
      </c>
      <c r="J5" s="47" t="s">
        <v>403</v>
      </c>
      <c r="K5" s="48" t="s">
        <v>404</v>
      </c>
      <c r="L5" s="101" t="s">
        <v>441</v>
      </c>
      <c r="M5" s="101" t="s">
        <v>544</v>
      </c>
      <c r="N5" s="39" t="s">
        <v>620</v>
      </c>
      <c r="O5" s="40" t="s">
        <v>621</v>
      </c>
      <c r="P5" s="137" t="s">
        <v>511</v>
      </c>
      <c r="Q5" s="108" t="s">
        <v>546</v>
      </c>
      <c r="R5" s="39" t="s">
        <v>622</v>
      </c>
      <c r="S5" s="137" t="s">
        <v>623</v>
      </c>
      <c r="T5" s="108" t="s">
        <v>512</v>
      </c>
      <c r="U5" s="137" t="s">
        <v>572</v>
      </c>
      <c r="V5" s="39" t="s">
        <v>624</v>
      </c>
      <c r="W5" s="40" t="s">
        <v>625</v>
      </c>
      <c r="X5" s="223" t="s">
        <v>559</v>
      </c>
      <c r="Y5" s="223" t="s">
        <v>561</v>
      </c>
      <c r="Z5" s="224" t="s">
        <v>560</v>
      </c>
      <c r="AA5" s="225" t="s">
        <v>567</v>
      </c>
      <c r="AB5" s="223" t="s">
        <v>563</v>
      </c>
      <c r="AC5" s="223" t="s">
        <v>564</v>
      </c>
      <c r="AD5" s="224" t="s">
        <v>565</v>
      </c>
      <c r="AE5" s="225" t="s">
        <v>566</v>
      </c>
      <c r="AF5" s="223" t="s">
        <v>568</v>
      </c>
      <c r="AG5" s="223" t="s">
        <v>569</v>
      </c>
      <c r="AH5" s="224" t="s">
        <v>570</v>
      </c>
      <c r="AI5" s="225" t="s">
        <v>571</v>
      </c>
    </row>
    <row r="6" spans="1:35" ht="12.75" customHeight="1" x14ac:dyDescent="0.25">
      <c r="A6" s="22" t="s">
        <v>387</v>
      </c>
      <c r="B6" s="236" t="s">
        <v>171</v>
      </c>
      <c r="C6" s="142" t="s">
        <v>216</v>
      </c>
      <c r="D6" s="170" t="s">
        <v>392</v>
      </c>
      <c r="E6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1</v>
      </c>
      <c r="F6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1</v>
      </c>
      <c r="G6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</v>
      </c>
      <c r="H6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</v>
      </c>
      <c r="I6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</v>
      </c>
      <c r="J6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0</v>
      </c>
      <c r="K6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0</v>
      </c>
      <c r="L6" s="18">
        <f>IFERROR(VLOOKUP(Vertailu[[#This Row],[Y-tunnus]],'Suoritepäätös 2020'!$Q:$AC,COLUMN('Suoritepäätös 2020'!L:L),FALSE)-VLOOKUP(Vertailu[[#This Row],[Y-tunnus]],'Suoritepäätös 2020'!$B:$N,COLUMN('Suoritepäätös 2020'!F:F),FALSE),0)</f>
        <v>126890</v>
      </c>
      <c r="M6" s="18">
        <f>IFERROR(VLOOKUP(Vertailu[[#This Row],[Y-tunnus]],'1.2 Ohjaus-laskentataulu'!A:AY,COLUMN('1.2 Ohjaus-laskentataulu'!Z:Z),FALSE),0)</f>
        <v>133469</v>
      </c>
      <c r="N6" s="18">
        <f>IFERROR(Vertailu[[#This Row],[Rahoitus pl. hark. kor. 2021 ilman alv, €]]-Vertailu[[#This Row],[Rahoitus pl. hark. kor. 2020 ilman alv, €]],0)</f>
        <v>6579</v>
      </c>
      <c r="O6" s="43">
        <f>IFERROR(Vertailu[[#This Row],[Muutos, € 1]]/Vertailu[[#This Row],[Rahoitus pl. hark. kor. 2020 ilman alv, €]],0)</f>
        <v>5.1848057372527387E-2</v>
      </c>
      <c r="P6" s="135">
        <f>IFERROR(VLOOKUP(Vertailu[[#This Row],[Y-tunnus]],'Suoritepäätös 2020'!$Q:$AC,COLUMN('Suoritepäätös 2020'!L:L),FALSE),0)</f>
        <v>146890</v>
      </c>
      <c r="Q6" s="138">
        <f>IFERROR(VLOOKUP(Vertailu[[#This Row],[Y-tunnus]],'1.2 Ohjaus-laskentataulu'!A:AY,COLUMN('1.2 Ohjaus-laskentataulu'!AV:AV),FALSE),0)</f>
        <v>133469</v>
      </c>
      <c r="R6" s="18">
        <f>IFERROR(Vertailu[[#This Row],[Rahoitus ml. hark. kor. 
2021 ilman alv, €]]-Vertailu[[#This Row],[Rahoitus ml. hark. kor. 
2020 ilman alv, €]],0)</f>
        <v>-13421</v>
      </c>
      <c r="S6" s="16">
        <f>IFERROR(Vertailu[[#This Row],[Muutos, € 2]]/Vertailu[[#This Row],[Rahoitus ml. hark. kor. 
2020 ilman alv, €]],0)</f>
        <v>-9.1367690108244262E-2</v>
      </c>
      <c r="T6" s="138">
        <f>IFERROR(VLOOKUP(Vertailu[[#This Row],[Y-tunnus]],'Suoritepäätös 2020'!$Q:$AC,COLUMN('Suoritepäätös 2020'!L:L),FALSE)+VLOOKUP(Vertailu[[#This Row],[Y-tunnus]],'Suoritepäätös 2020'!$Q:$AC,COLUMN('Suoritepäätös 2020'!M:M),FALSE),0)</f>
        <v>146890</v>
      </c>
      <c r="U6" s="135">
        <f>IFERROR(VLOOKUP(Vertailu[[#This Row],[Y-tunnus]],'1.2 Ohjaus-laskentataulu'!A:AY,COLUMN('1.2 Ohjaus-laskentataulu'!AX:AX),FALSE),0)</f>
        <v>133469</v>
      </c>
      <c r="V6" s="141">
        <f>IFERROR(Vertailu[[#This Row],[Rahoitus ml. hark. kor. + alv 2021, €]]-Vertailu[[#This Row],[Rahoitus ml. hark. kor. + alv 2020, €]],0)</f>
        <v>-13421</v>
      </c>
      <c r="W6" s="43">
        <f>IFERROR(Vertailu[[#This Row],[Muutos, € 3]]/Vertailu[[#This Row],[Rahoitus ml. hark. kor. + alv 2020, €]],0)</f>
        <v>-9.1367690108244262E-2</v>
      </c>
      <c r="X6" s="18">
        <f>IFERROR(VLOOKUP(Vertailu[[#This Row],[Y-tunnus]],'Suoritepäätös 2020'!$B:$N,COLUMN('Suoritepäätös 2020'!G:G),FALSE),0)</f>
        <v>146890</v>
      </c>
      <c r="Y6" s="18">
        <f>IFERROR(VLOOKUP(Vertailu[[#This Row],[Y-tunnus]],'1.2 Ohjaus-laskentataulu'!A:AY,COLUMN('1.2 Ohjaus-laskentataulu'!AS:AS),FALSE),0)</f>
        <v>133469</v>
      </c>
      <c r="Z6" s="18">
        <f>Vertailu[[#This Row],[Perusrahoitus 2021, €]]-Vertailu[[#This Row],[Perusrahoitus 2020, €]]</f>
        <v>-13421</v>
      </c>
      <c r="AA6" s="43">
        <f>IFERROR(Vertailu[[#This Row],[Perusrahoituksen muutos, €]]/Vertailu[[#This Row],[Perusrahoitus 2020, €]],0)</f>
        <v>-9.1367690108244262E-2</v>
      </c>
      <c r="AB6" s="18">
        <f>IFERROR(VLOOKUP(Vertailu[[#This Row],[Y-tunnus]],'Suoritepäätös 2020'!$B:$N,COLUMN('Suoritepäätös 2020'!M:M),FALSE),0)</f>
        <v>0</v>
      </c>
      <c r="AC6" s="18">
        <f>IFERROR(VLOOKUP(Vertailu[[#This Row],[Y-tunnus]],'1.2 Ohjaus-laskentataulu'!A:AY,COLUMN('1.2 Ohjaus-laskentataulu'!O:O),FALSE),0)</f>
        <v>0</v>
      </c>
      <c r="AD6" s="18">
        <f>Vertailu[[#This Row],[Suoritusrahoitus 2021, €]]-Vertailu[[#This Row],[Suoritusrahoitus 2020, €]]</f>
        <v>0</v>
      </c>
      <c r="AE6" s="43">
        <f>IFERROR(Vertailu[[#This Row],[Suoritusrahoituksen muutos, €]]/Vertailu[[#This Row],[Suoritusrahoitus 2020, €]],0)</f>
        <v>0</v>
      </c>
      <c r="AF6" s="18">
        <f>IFERROR(VLOOKUP(Vertailu[[#This Row],[Y-tunnus]],'Suoritepäätös 2020'!$Q:$AC,COLUMN('Suoritepäätös 2020'!K:K),FALSE),0)</f>
        <v>0</v>
      </c>
      <c r="AG6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0</v>
      </c>
      <c r="AH6" s="18">
        <f>Vertailu[[#This Row],[Vaikuttavuusrahoitus 2021, €]]-Vertailu[[#This Row],[Vaikuttavuusrahoitus 2020, €]]</f>
        <v>0</v>
      </c>
      <c r="AI6" s="43">
        <f>IFERROR(Vertailu[[#This Row],[Vaikuttavuusrahoituksen muutos, €]]/Vertailu[[#This Row],[Vaikuttavuusrahoitus 2020, €]],0)</f>
        <v>0</v>
      </c>
    </row>
    <row r="7" spans="1:35" ht="12.75" customHeight="1" x14ac:dyDescent="0.25">
      <c r="A7" s="22" t="s">
        <v>444</v>
      </c>
      <c r="B7" s="236" t="s">
        <v>445</v>
      </c>
      <c r="C7" s="142" t="s">
        <v>216</v>
      </c>
      <c r="D7" s="170" t="s">
        <v>392</v>
      </c>
      <c r="E7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0.63936625630391553</v>
      </c>
      <c r="F7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0.64385052879438065</v>
      </c>
      <c r="G7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0.22052605777859544</v>
      </c>
      <c r="H7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0.13562341342702394</v>
      </c>
      <c r="I7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0.10443804860963338</v>
      </c>
      <c r="J7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9.0397851232287049E-3</v>
      </c>
      <c r="K7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2.2145579694161855E-2</v>
      </c>
      <c r="L7" s="18">
        <f>IFERROR(VLOOKUP(Vertailu[[#This Row],[Y-tunnus]],'Suoritepäätös 2020'!$Q:$AC,COLUMN('Suoritepäätös 2020'!L:L),FALSE)-VLOOKUP(Vertailu[[#This Row],[Y-tunnus]],'Suoritepäätös 2020'!$B:$N,COLUMN('Suoritepäätös 2020'!F:F),FALSE),0)</f>
        <v>29511200</v>
      </c>
      <c r="M7" s="18">
        <f>IFERROR(VLOOKUP(Vertailu[[#This Row],[Y-tunnus]],'1.2 Ohjaus-laskentataulu'!A:AY,COLUMN('1.2 Ohjaus-laskentataulu'!Z:Z),FALSE),0)</f>
        <v>33300242</v>
      </c>
      <c r="N7" s="18">
        <f>IFERROR(Vertailu[[#This Row],[Rahoitus pl. hark. kor. 2021 ilman alv, €]]-Vertailu[[#This Row],[Rahoitus pl. hark. kor. 2020 ilman alv, €]],0)</f>
        <v>3789042</v>
      </c>
      <c r="O7" s="43">
        <f>IFERROR(Vertailu[[#This Row],[Muutos, € 1]]/Vertailu[[#This Row],[Rahoitus pl. hark. kor. 2020 ilman alv, €]],0)</f>
        <v>0.12839335574290439</v>
      </c>
      <c r="P7" s="135">
        <f>IFERROR(VLOOKUP(Vertailu[[#This Row],[Y-tunnus]],'Suoritepäätös 2020'!$Q:$AC,COLUMN('Suoritepäätös 2020'!L:L),FALSE),0)</f>
        <v>29511200</v>
      </c>
      <c r="Q7" s="138">
        <f>IFERROR(VLOOKUP(Vertailu[[#This Row],[Y-tunnus]],'1.2 Ohjaus-laskentataulu'!A:AY,COLUMN('1.2 Ohjaus-laskentataulu'!AV:AV),FALSE),0)</f>
        <v>33450242</v>
      </c>
      <c r="R7" s="18">
        <f>IFERROR(Vertailu[[#This Row],[Rahoitus ml. hark. kor. 
2021 ilman alv, €]]-Vertailu[[#This Row],[Rahoitus ml. hark. kor. 
2020 ilman alv, €]],0)</f>
        <v>3939042</v>
      </c>
      <c r="S7" s="16">
        <f>IFERROR(Vertailu[[#This Row],[Muutos, € 2]]/Vertailu[[#This Row],[Rahoitus ml. hark. kor. 
2020 ilman alv, €]],0)</f>
        <v>0.13347617175851881</v>
      </c>
      <c r="T7" s="138">
        <f>IFERROR(VLOOKUP(Vertailu[[#This Row],[Y-tunnus]],'Suoritepäätös 2020'!$Q:$AC,COLUMN('Suoritepäätös 2020'!L:L),FALSE)+VLOOKUP(Vertailu[[#This Row],[Y-tunnus]],'Suoritepäätös 2020'!$Q:$AC,COLUMN('Suoritepäätös 2020'!M:M),FALSE),0)</f>
        <v>30769464</v>
      </c>
      <c r="U7" s="135">
        <f>IFERROR(VLOOKUP(Vertailu[[#This Row],[Y-tunnus]],'1.2 Ohjaus-laskentataulu'!A:AY,COLUMN('1.2 Ohjaus-laskentataulu'!AX:AX),FALSE),0)</f>
        <v>34359558</v>
      </c>
      <c r="V7" s="141">
        <f>IFERROR(Vertailu[[#This Row],[Rahoitus ml. hark. kor. + alv 2021, €]]-Vertailu[[#This Row],[Rahoitus ml. hark. kor. + alv 2020, €]],0)</f>
        <v>3590094</v>
      </c>
      <c r="W7" s="43">
        <f>IFERROR(Vertailu[[#This Row],[Muutos, € 3]]/Vertailu[[#This Row],[Rahoitus ml. hark. kor. + alv 2020, €]],0)</f>
        <v>0.11667717058704695</v>
      </c>
      <c r="X7" s="18">
        <f>IFERROR(VLOOKUP(Vertailu[[#This Row],[Y-tunnus]],'Suoritepäätös 2020'!$B:$N,COLUMN('Suoritepäätös 2020'!G:G),FALSE),0)</f>
        <v>18490480</v>
      </c>
      <c r="Y7" s="18">
        <f>IFERROR(VLOOKUP(Vertailu[[#This Row],[Y-tunnus]],'1.2 Ohjaus-laskentataulu'!A:AY,COLUMN('1.2 Ohjaus-laskentataulu'!AS:AS),FALSE),0)</f>
        <v>21536956</v>
      </c>
      <c r="Z7" s="18">
        <f>Vertailu[[#This Row],[Perusrahoitus 2021, €]]-Vertailu[[#This Row],[Perusrahoitus 2020, €]]</f>
        <v>3046476</v>
      </c>
      <c r="AA7" s="43">
        <f>IFERROR(Vertailu[[#This Row],[Perusrahoituksen muutos, €]]/Vertailu[[#This Row],[Perusrahoitus 2020, €]],0)</f>
        <v>0.16475916255283801</v>
      </c>
      <c r="AB7" s="18">
        <f>IFERROR(VLOOKUP(Vertailu[[#This Row],[Y-tunnus]],'Suoritepäätös 2020'!$B:$N,COLUMN('Suoritepäätös 2020'!M:M),FALSE),0)</f>
        <v>6964927</v>
      </c>
      <c r="AC7" s="18">
        <f>IFERROR(VLOOKUP(Vertailu[[#This Row],[Y-tunnus]],'1.2 Ohjaus-laskentataulu'!A:AY,COLUMN('1.2 Ohjaus-laskentataulu'!O:O),FALSE),0)</f>
        <v>7376650</v>
      </c>
      <c r="AD7" s="18">
        <f>Vertailu[[#This Row],[Suoritusrahoitus 2021, €]]-Vertailu[[#This Row],[Suoritusrahoitus 2020, €]]</f>
        <v>411723</v>
      </c>
      <c r="AE7" s="43">
        <f>IFERROR(Vertailu[[#This Row],[Suoritusrahoituksen muutos, €]]/Vertailu[[#This Row],[Suoritusrahoitus 2020, €]],0)</f>
        <v>5.9113756684025548E-2</v>
      </c>
      <c r="AF7" s="18">
        <f>IFERROR(VLOOKUP(Vertailu[[#This Row],[Y-tunnus]],'Suoritepäätös 2020'!$Q:$AC,COLUMN('Suoritepäätös 2020'!K:K),FALSE),0)</f>
        <v>4055793</v>
      </c>
      <c r="AG7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4536636</v>
      </c>
      <c r="AH7" s="18">
        <f>Vertailu[[#This Row],[Vaikuttavuusrahoitus 2021, €]]-Vertailu[[#This Row],[Vaikuttavuusrahoitus 2020, €]]</f>
        <v>480843</v>
      </c>
      <c r="AI7" s="43">
        <f>IFERROR(Vertailu[[#This Row],[Vaikuttavuusrahoituksen muutos, €]]/Vertailu[[#This Row],[Vaikuttavuusrahoitus 2020, €]],0)</f>
        <v>0.11855708612347819</v>
      </c>
    </row>
    <row r="8" spans="1:35" ht="12.75" customHeight="1" x14ac:dyDescent="0.25">
      <c r="A8" s="22" t="s">
        <v>386</v>
      </c>
      <c r="B8" s="236" t="s">
        <v>18</v>
      </c>
      <c r="C8" s="142" t="s">
        <v>227</v>
      </c>
      <c r="D8" s="170" t="s">
        <v>392</v>
      </c>
      <c r="E8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0.64972095436783195</v>
      </c>
      <c r="F8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0.64972095436783195</v>
      </c>
      <c r="G8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0.2436738184244247</v>
      </c>
      <c r="H8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0.10660522720774339</v>
      </c>
      <c r="I8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8.6545711592836944E-2</v>
      </c>
      <c r="J8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5.2534179118702944E-3</v>
      </c>
      <c r="K8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1.4806097703036144E-2</v>
      </c>
      <c r="L8" s="18">
        <f>IFERROR(VLOOKUP(Vertailu[[#This Row],[Y-tunnus]],'Suoritepäätös 2020'!$Q:$AC,COLUMN('Suoritepäätös 2020'!L:L),FALSE)-VLOOKUP(Vertailu[[#This Row],[Y-tunnus]],'Suoritepäätös 2020'!$B:$N,COLUMN('Suoritepäätös 2020'!F:F),FALSE),0)</f>
        <v>3808206</v>
      </c>
      <c r="M8" s="18">
        <f>IFERROR(VLOOKUP(Vertailu[[#This Row],[Y-tunnus]],'1.2 Ohjaus-laskentataulu'!A:AY,COLUMN('1.2 Ohjaus-laskentataulu'!Z:Z),FALSE),0)</f>
        <v>3777160</v>
      </c>
      <c r="N8" s="18">
        <f>IFERROR(Vertailu[[#This Row],[Rahoitus pl. hark. kor. 2021 ilman alv, €]]-Vertailu[[#This Row],[Rahoitus pl. hark. kor. 2020 ilman alv, €]],0)</f>
        <v>-31046</v>
      </c>
      <c r="O8" s="43">
        <f>IFERROR(Vertailu[[#This Row],[Muutos, € 1]]/Vertailu[[#This Row],[Rahoitus pl. hark. kor. 2020 ilman alv, €]],0)</f>
        <v>-8.1523951172809452E-3</v>
      </c>
      <c r="P8" s="135">
        <f>IFERROR(VLOOKUP(Vertailu[[#This Row],[Y-tunnus]],'Suoritepäätös 2020'!$Q:$AC,COLUMN('Suoritepäätös 2020'!L:L),FALSE),0)</f>
        <v>3808206</v>
      </c>
      <c r="Q8" s="138">
        <f>IFERROR(VLOOKUP(Vertailu[[#This Row],[Y-tunnus]],'1.2 Ohjaus-laskentataulu'!A:AY,COLUMN('1.2 Ohjaus-laskentataulu'!AV:AV),FALSE),0)</f>
        <v>3777160</v>
      </c>
      <c r="R8" s="18">
        <f>IFERROR(Vertailu[[#This Row],[Rahoitus ml. hark. kor. 
2021 ilman alv, €]]-Vertailu[[#This Row],[Rahoitus ml. hark. kor. 
2020 ilman alv, €]],0)</f>
        <v>-31046</v>
      </c>
      <c r="S8" s="16">
        <f>IFERROR(Vertailu[[#This Row],[Muutos, € 2]]/Vertailu[[#This Row],[Rahoitus ml. hark. kor. 
2020 ilman alv, €]],0)</f>
        <v>-8.1523951172809452E-3</v>
      </c>
      <c r="T8" s="138">
        <f>IFERROR(VLOOKUP(Vertailu[[#This Row],[Y-tunnus]],'Suoritepäätös 2020'!$Q:$AC,COLUMN('Suoritepäätös 2020'!L:L),FALSE)+VLOOKUP(Vertailu[[#This Row],[Y-tunnus]],'Suoritepäätös 2020'!$Q:$AC,COLUMN('Suoritepäätös 2020'!M:M),FALSE),0)</f>
        <v>4191677</v>
      </c>
      <c r="U8" s="135">
        <f>IFERROR(VLOOKUP(Vertailu[[#This Row],[Y-tunnus]],'1.2 Ohjaus-laskentataulu'!A:AY,COLUMN('1.2 Ohjaus-laskentataulu'!AX:AX),FALSE),0)</f>
        <v>4143426</v>
      </c>
      <c r="V8" s="141">
        <f>IFERROR(Vertailu[[#This Row],[Rahoitus ml. hark. kor. + alv 2021, €]]-Vertailu[[#This Row],[Rahoitus ml. hark. kor. + alv 2020, €]],0)</f>
        <v>-48251</v>
      </c>
      <c r="W8" s="43">
        <f>IFERROR(Vertailu[[#This Row],[Muutos, € 3]]/Vertailu[[#This Row],[Rahoitus ml. hark. kor. + alv 2020, €]],0)</f>
        <v>-1.1511144584852315E-2</v>
      </c>
      <c r="X8" s="18">
        <f>IFERROR(VLOOKUP(Vertailu[[#This Row],[Y-tunnus]],'Suoritepäätös 2020'!$B:$N,COLUMN('Suoritepäätös 2020'!G:G),FALSE),0)</f>
        <v>2491169</v>
      </c>
      <c r="Y8" s="18">
        <f>IFERROR(VLOOKUP(Vertailu[[#This Row],[Y-tunnus]],'1.2 Ohjaus-laskentataulu'!A:AY,COLUMN('1.2 Ohjaus-laskentataulu'!AS:AS),FALSE),0)</f>
        <v>2454100</v>
      </c>
      <c r="Z8" s="18">
        <f>Vertailu[[#This Row],[Perusrahoitus 2021, €]]-Vertailu[[#This Row],[Perusrahoitus 2020, €]]</f>
        <v>-37069</v>
      </c>
      <c r="AA8" s="43">
        <f>IFERROR(Vertailu[[#This Row],[Perusrahoituksen muutos, €]]/Vertailu[[#This Row],[Perusrahoitus 2020, €]],0)</f>
        <v>-1.4880162686674409E-2</v>
      </c>
      <c r="AB8" s="18">
        <f>IFERROR(VLOOKUP(Vertailu[[#This Row],[Y-tunnus]],'Suoritepäätös 2020'!$B:$N,COLUMN('Suoritepäätös 2020'!M:M),FALSE),0)</f>
        <v>981880</v>
      </c>
      <c r="AC8" s="18">
        <f>IFERROR(VLOOKUP(Vertailu[[#This Row],[Y-tunnus]],'1.2 Ohjaus-laskentataulu'!A:AY,COLUMN('1.2 Ohjaus-laskentataulu'!O:O),FALSE),0)</f>
        <v>920395</v>
      </c>
      <c r="AD8" s="18">
        <f>Vertailu[[#This Row],[Suoritusrahoitus 2021, €]]-Vertailu[[#This Row],[Suoritusrahoitus 2020, €]]</f>
        <v>-61485</v>
      </c>
      <c r="AE8" s="43">
        <f>IFERROR(Vertailu[[#This Row],[Suoritusrahoituksen muutos, €]]/Vertailu[[#This Row],[Suoritusrahoitus 2020, €]],0)</f>
        <v>-6.2619668391249439E-2</v>
      </c>
      <c r="AF8" s="18">
        <f>IFERROR(VLOOKUP(Vertailu[[#This Row],[Y-tunnus]],'Suoritepäätös 2020'!$Q:$AC,COLUMN('Suoritepäätös 2020'!K:K),FALSE),0)</f>
        <v>335157</v>
      </c>
      <c r="AG8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402665</v>
      </c>
      <c r="AH8" s="18">
        <f>Vertailu[[#This Row],[Vaikuttavuusrahoitus 2021, €]]-Vertailu[[#This Row],[Vaikuttavuusrahoitus 2020, €]]</f>
        <v>67508</v>
      </c>
      <c r="AI8" s="43">
        <f>IFERROR(Vertailu[[#This Row],[Vaikuttavuusrahoituksen muutos, €]]/Vertailu[[#This Row],[Vaikuttavuusrahoitus 2020, €]],0)</f>
        <v>0.20142202012788038</v>
      </c>
    </row>
    <row r="9" spans="1:35" ht="12.75" customHeight="1" x14ac:dyDescent="0.25">
      <c r="A9" s="22" t="s">
        <v>383</v>
      </c>
      <c r="B9" s="236" t="s">
        <v>181</v>
      </c>
      <c r="C9" s="142" t="s">
        <v>216</v>
      </c>
      <c r="D9" s="170" t="s">
        <v>392</v>
      </c>
      <c r="E9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7.8028988243763239E-2</v>
      </c>
      <c r="F9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1</v>
      </c>
      <c r="G9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</v>
      </c>
      <c r="H9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</v>
      </c>
      <c r="I9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</v>
      </c>
      <c r="J9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0</v>
      </c>
      <c r="K9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0</v>
      </c>
      <c r="L9" s="18">
        <f>IFERROR(VLOOKUP(Vertailu[[#This Row],[Y-tunnus]],'Suoritepäätös 2020'!$Q:$AC,COLUMN('Suoritepäätös 2020'!L:L),FALSE)-VLOOKUP(Vertailu[[#This Row],[Y-tunnus]],'Suoritepäätös 2020'!$B:$N,COLUMN('Suoritepäätös 2020'!F:F),FALSE),0)</f>
        <v>160924</v>
      </c>
      <c r="M9" s="18">
        <f>IFERROR(VLOOKUP(Vertailu[[#This Row],[Y-tunnus]],'1.2 Ohjaus-laskentataulu'!A:AY,COLUMN('1.2 Ohjaus-laskentataulu'!Z:Z),FALSE),0)</f>
        <v>105791</v>
      </c>
      <c r="N9" s="18">
        <f>IFERROR(Vertailu[[#This Row],[Rahoitus pl. hark. kor. 2021 ilman alv, €]]-Vertailu[[#This Row],[Rahoitus pl. hark. kor. 2020 ilman alv, €]],0)</f>
        <v>-55133</v>
      </c>
      <c r="O9" s="43">
        <f>IFERROR(Vertailu[[#This Row],[Muutos, € 1]]/Vertailu[[#This Row],[Rahoitus pl. hark. kor. 2020 ilman alv, €]],0)</f>
        <v>-0.34260271929606523</v>
      </c>
      <c r="P9" s="135">
        <f>IFERROR(VLOOKUP(Vertailu[[#This Row],[Y-tunnus]],'Suoritepäätös 2020'!$Q:$AC,COLUMN('Suoritepäätös 2020'!L:L),FALSE),0)</f>
        <v>1410924</v>
      </c>
      <c r="Q9" s="138">
        <f>IFERROR(VLOOKUP(Vertailu[[#This Row],[Y-tunnus]],'1.2 Ohjaus-laskentataulu'!A:AY,COLUMN('1.2 Ohjaus-laskentataulu'!AV:AV),FALSE),0)</f>
        <v>1355791</v>
      </c>
      <c r="R9" s="18">
        <f>IFERROR(Vertailu[[#This Row],[Rahoitus ml. hark. kor. 
2021 ilman alv, €]]-Vertailu[[#This Row],[Rahoitus ml. hark. kor. 
2020 ilman alv, €]],0)</f>
        <v>-55133</v>
      </c>
      <c r="S9" s="16">
        <f>IFERROR(Vertailu[[#This Row],[Muutos, € 2]]/Vertailu[[#This Row],[Rahoitus ml. hark. kor. 
2020 ilman alv, €]],0)</f>
        <v>-3.9075811312303144E-2</v>
      </c>
      <c r="T9" s="138">
        <f>IFERROR(VLOOKUP(Vertailu[[#This Row],[Y-tunnus]],'Suoritepäätös 2020'!$Q:$AC,COLUMN('Suoritepäätös 2020'!L:L),FALSE)+VLOOKUP(Vertailu[[#This Row],[Y-tunnus]],'Suoritepäätös 2020'!$Q:$AC,COLUMN('Suoritepäätös 2020'!M:M),FALSE),0)</f>
        <v>1455956</v>
      </c>
      <c r="U9" s="135">
        <f>IFERROR(VLOOKUP(Vertailu[[#This Row],[Y-tunnus]],'1.2 Ohjaus-laskentataulu'!A:AY,COLUMN('1.2 Ohjaus-laskentataulu'!AX:AX),FALSE),0)</f>
        <v>1393274</v>
      </c>
      <c r="V9" s="141">
        <f>IFERROR(Vertailu[[#This Row],[Rahoitus ml. hark. kor. + alv 2021, €]]-Vertailu[[#This Row],[Rahoitus ml. hark. kor. + alv 2020, €]],0)</f>
        <v>-62682</v>
      </c>
      <c r="W9" s="43">
        <f>IFERROR(Vertailu[[#This Row],[Muutos, € 3]]/Vertailu[[#This Row],[Rahoitus ml. hark. kor. + alv 2020, €]],0)</f>
        <v>-4.3052125201585766E-2</v>
      </c>
      <c r="X9" s="18">
        <f>IFERROR(VLOOKUP(Vertailu[[#This Row],[Y-tunnus]],'Suoritepäätös 2020'!$B:$N,COLUMN('Suoritepäätös 2020'!G:G),FALSE),0)</f>
        <v>1352102</v>
      </c>
      <c r="Y9" s="18">
        <f>IFERROR(VLOOKUP(Vertailu[[#This Row],[Y-tunnus]],'1.2 Ohjaus-laskentataulu'!A:AY,COLUMN('1.2 Ohjaus-laskentataulu'!AS:AS),FALSE),0)</f>
        <v>1355791</v>
      </c>
      <c r="Z9" s="18">
        <f>Vertailu[[#This Row],[Perusrahoitus 2021, €]]-Vertailu[[#This Row],[Perusrahoitus 2020, €]]</f>
        <v>3689</v>
      </c>
      <c r="AA9" s="43">
        <f>IFERROR(Vertailu[[#This Row],[Perusrahoituksen muutos, €]]/Vertailu[[#This Row],[Perusrahoitus 2020, €]],0)</f>
        <v>2.7283444592197926E-3</v>
      </c>
      <c r="AB9" s="18">
        <f>IFERROR(VLOOKUP(Vertailu[[#This Row],[Y-tunnus]],'Suoritepäätös 2020'!$B:$N,COLUMN('Suoritepäätös 2020'!M:M),FALSE),0)</f>
        <v>34999</v>
      </c>
      <c r="AC9" s="18">
        <f>IFERROR(VLOOKUP(Vertailu[[#This Row],[Y-tunnus]],'1.2 Ohjaus-laskentataulu'!A:AY,COLUMN('1.2 Ohjaus-laskentataulu'!O:O),FALSE),0)</f>
        <v>0</v>
      </c>
      <c r="AD9" s="18">
        <f>Vertailu[[#This Row],[Suoritusrahoitus 2021, €]]-Vertailu[[#This Row],[Suoritusrahoitus 2020, €]]</f>
        <v>-34999</v>
      </c>
      <c r="AE9" s="43">
        <f>IFERROR(Vertailu[[#This Row],[Suoritusrahoituksen muutos, €]]/Vertailu[[#This Row],[Suoritusrahoitus 2020, €]],0)</f>
        <v>-1</v>
      </c>
      <c r="AF9" s="18">
        <f>IFERROR(VLOOKUP(Vertailu[[#This Row],[Y-tunnus]],'Suoritepäätös 2020'!$Q:$AC,COLUMN('Suoritepäätös 2020'!K:K),FALSE),0)</f>
        <v>23823</v>
      </c>
      <c r="AG9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0</v>
      </c>
      <c r="AH9" s="18">
        <f>Vertailu[[#This Row],[Vaikuttavuusrahoitus 2021, €]]-Vertailu[[#This Row],[Vaikuttavuusrahoitus 2020, €]]</f>
        <v>-23823</v>
      </c>
      <c r="AI9" s="43">
        <f>IFERROR(Vertailu[[#This Row],[Vaikuttavuusrahoituksen muutos, €]]/Vertailu[[#This Row],[Vaikuttavuusrahoitus 2020, €]],0)</f>
        <v>-1</v>
      </c>
    </row>
    <row r="10" spans="1:35" ht="12.75" customHeight="1" x14ac:dyDescent="0.25">
      <c r="A10" s="22" t="s">
        <v>385</v>
      </c>
      <c r="B10" s="236" t="s">
        <v>19</v>
      </c>
      <c r="C10" s="142" t="s">
        <v>227</v>
      </c>
      <c r="D10" s="170" t="s">
        <v>392</v>
      </c>
      <c r="E10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0.88853634037534657</v>
      </c>
      <c r="F10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0.88853634037534657</v>
      </c>
      <c r="G10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9.6477078008494824E-2</v>
      </c>
      <c r="H10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1.498658161615863E-2</v>
      </c>
      <c r="I10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1.2408901851516607E-2</v>
      </c>
      <c r="J10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6.4211869042375648E-4</v>
      </c>
      <c r="K10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1.9355610742182651E-3</v>
      </c>
      <c r="L10" s="18">
        <f>IFERROR(VLOOKUP(Vertailu[[#This Row],[Y-tunnus]],'Suoritepäätös 2020'!$Q:$AC,COLUMN('Suoritepäätös 2020'!L:L),FALSE)-VLOOKUP(Vertailu[[#This Row],[Y-tunnus]],'Suoritepäätös 2020'!$B:$N,COLUMN('Suoritepäätös 2020'!F:F),FALSE),0)</f>
        <v>3630724</v>
      </c>
      <c r="M10" s="18">
        <f>IFERROR(VLOOKUP(Vertailu[[#This Row],[Y-tunnus]],'1.2 Ohjaus-laskentataulu'!A:AY,COLUMN('1.2 Ohjaus-laskentataulu'!Z:Z),FALSE),0)</f>
        <v>3585007</v>
      </c>
      <c r="N10" s="18">
        <f>IFERROR(Vertailu[[#This Row],[Rahoitus pl. hark. kor. 2021 ilman alv, €]]-Vertailu[[#This Row],[Rahoitus pl. hark. kor. 2020 ilman alv, €]],0)</f>
        <v>-45717</v>
      </c>
      <c r="O10" s="43">
        <f>IFERROR(Vertailu[[#This Row],[Muutos, € 1]]/Vertailu[[#This Row],[Rahoitus pl. hark. kor. 2020 ilman alv, €]],0)</f>
        <v>-1.2591703472916146E-2</v>
      </c>
      <c r="P10" s="135">
        <f>IFERROR(VLOOKUP(Vertailu[[#This Row],[Y-tunnus]],'Suoritepäätös 2020'!$Q:$AC,COLUMN('Suoritepäätös 2020'!L:L),FALSE),0)</f>
        <v>3630724</v>
      </c>
      <c r="Q10" s="138">
        <f>IFERROR(VLOOKUP(Vertailu[[#This Row],[Y-tunnus]],'1.2 Ohjaus-laskentataulu'!A:AY,COLUMN('1.2 Ohjaus-laskentataulu'!AV:AV),FALSE),0)</f>
        <v>3585007</v>
      </c>
      <c r="R10" s="18">
        <f>IFERROR(Vertailu[[#This Row],[Rahoitus ml. hark. kor. 
2021 ilman alv, €]]-Vertailu[[#This Row],[Rahoitus ml. hark. kor. 
2020 ilman alv, €]],0)</f>
        <v>-45717</v>
      </c>
      <c r="S10" s="16">
        <f>IFERROR(Vertailu[[#This Row],[Muutos, € 2]]/Vertailu[[#This Row],[Rahoitus ml. hark. kor. 
2020 ilman alv, €]],0)</f>
        <v>-1.2591703472916146E-2</v>
      </c>
      <c r="T10" s="138">
        <f>IFERROR(VLOOKUP(Vertailu[[#This Row],[Y-tunnus]],'Suoritepäätös 2020'!$Q:$AC,COLUMN('Suoritepäätös 2020'!L:L),FALSE)+VLOOKUP(Vertailu[[#This Row],[Y-tunnus]],'Suoritepäätös 2020'!$Q:$AC,COLUMN('Suoritepäätös 2020'!M:M),FALSE),0)</f>
        <v>3742362</v>
      </c>
      <c r="U10" s="135">
        <f>IFERROR(VLOOKUP(Vertailu[[#This Row],[Y-tunnus]],'1.2 Ohjaus-laskentataulu'!A:AY,COLUMN('1.2 Ohjaus-laskentataulu'!AX:AX),FALSE),0)</f>
        <v>3719881</v>
      </c>
      <c r="V10" s="141">
        <f>IFERROR(Vertailu[[#This Row],[Rahoitus ml. hark. kor. + alv 2021, €]]-Vertailu[[#This Row],[Rahoitus ml. hark. kor. + alv 2020, €]],0)</f>
        <v>-22481</v>
      </c>
      <c r="W10" s="43">
        <f>IFERROR(Vertailu[[#This Row],[Muutos, € 3]]/Vertailu[[#This Row],[Rahoitus ml. hark. kor. + alv 2020, €]],0)</f>
        <v>-6.0071687346119913E-3</v>
      </c>
      <c r="X10" s="18">
        <f>IFERROR(VLOOKUP(Vertailu[[#This Row],[Y-tunnus]],'Suoritepäätös 2020'!$B:$N,COLUMN('Suoritepäätös 2020'!G:G),FALSE),0)</f>
        <v>3090796</v>
      </c>
      <c r="Y10" s="18">
        <f>IFERROR(VLOOKUP(Vertailu[[#This Row],[Y-tunnus]],'1.2 Ohjaus-laskentataulu'!A:AY,COLUMN('1.2 Ohjaus-laskentataulu'!AS:AS),FALSE),0)</f>
        <v>3185409</v>
      </c>
      <c r="Z10" s="18">
        <f>Vertailu[[#This Row],[Perusrahoitus 2021, €]]-Vertailu[[#This Row],[Perusrahoitus 2020, €]]</f>
        <v>94613</v>
      </c>
      <c r="AA10" s="43">
        <f>IFERROR(Vertailu[[#This Row],[Perusrahoituksen muutos, €]]/Vertailu[[#This Row],[Perusrahoitus 2020, €]],0)</f>
        <v>3.0611208245384037E-2</v>
      </c>
      <c r="AB10" s="18">
        <f>IFERROR(VLOOKUP(Vertailu[[#This Row],[Y-tunnus]],'Suoritepäätös 2020'!$B:$N,COLUMN('Suoritepäätös 2020'!M:M),FALSE),0)</f>
        <v>521474</v>
      </c>
      <c r="AC10" s="18">
        <f>IFERROR(VLOOKUP(Vertailu[[#This Row],[Y-tunnus]],'1.2 Ohjaus-laskentataulu'!A:AY,COLUMN('1.2 Ohjaus-laskentataulu'!O:O),FALSE),0)</f>
        <v>345871</v>
      </c>
      <c r="AD10" s="18">
        <f>Vertailu[[#This Row],[Suoritusrahoitus 2021, €]]-Vertailu[[#This Row],[Suoritusrahoitus 2020, €]]</f>
        <v>-175603</v>
      </c>
      <c r="AE10" s="43">
        <f>IFERROR(Vertailu[[#This Row],[Suoritusrahoituksen muutos, €]]/Vertailu[[#This Row],[Suoritusrahoitus 2020, €]],0)</f>
        <v>-0.33674353850815192</v>
      </c>
      <c r="AF10" s="18">
        <f>IFERROR(VLOOKUP(Vertailu[[#This Row],[Y-tunnus]],'Suoritepäätös 2020'!$Q:$AC,COLUMN('Suoritepäätös 2020'!K:K),FALSE),0)</f>
        <v>18454</v>
      </c>
      <c r="AG10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53727</v>
      </c>
      <c r="AH10" s="18">
        <f>Vertailu[[#This Row],[Vaikuttavuusrahoitus 2021, €]]-Vertailu[[#This Row],[Vaikuttavuusrahoitus 2020, €]]</f>
        <v>35273</v>
      </c>
      <c r="AI10" s="43">
        <f>IFERROR(Vertailu[[#This Row],[Vaikuttavuusrahoituksen muutos, €]]/Vertailu[[#This Row],[Vaikuttavuusrahoitus 2020, €]],0)</f>
        <v>1.9114013222065678</v>
      </c>
    </row>
    <row r="11" spans="1:35" ht="12.75" customHeight="1" x14ac:dyDescent="0.25">
      <c r="A11" s="22" t="s">
        <v>384</v>
      </c>
      <c r="B11" s="236" t="s">
        <v>22</v>
      </c>
      <c r="C11" s="142" t="s">
        <v>216</v>
      </c>
      <c r="D11" s="170" t="s">
        <v>392</v>
      </c>
      <c r="E11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0.85277679862752875</v>
      </c>
      <c r="F11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0.85277679862752875</v>
      </c>
      <c r="G11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0.13673583980254794</v>
      </c>
      <c r="H11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1.0487361569923267E-2</v>
      </c>
      <c r="I11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6.6521055679576837E-3</v>
      </c>
      <c r="J11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1.0425871438218136E-3</v>
      </c>
      <c r="K11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2.7926688581437699E-3</v>
      </c>
      <c r="L11" s="18">
        <f>IFERROR(VLOOKUP(Vertailu[[#This Row],[Y-tunnus]],'Suoritepäätös 2020'!$Q:$AC,COLUMN('Suoritepäätös 2020'!L:L),FALSE)-VLOOKUP(Vertailu[[#This Row],[Y-tunnus]],'Suoritepäätös 2020'!$B:$N,COLUMN('Suoritepäätös 2020'!F:F),FALSE),0)</f>
        <v>38357878</v>
      </c>
      <c r="M11" s="18">
        <f>IFERROR(VLOOKUP(Vertailu[[#This Row],[Y-tunnus]],'1.2 Ohjaus-laskentataulu'!A:AY,COLUMN('1.2 Ohjaus-laskentataulu'!Z:Z),FALSE),0)</f>
        <v>41892901</v>
      </c>
      <c r="N11" s="18">
        <f>IFERROR(Vertailu[[#This Row],[Rahoitus pl. hark. kor. 2021 ilman alv, €]]-Vertailu[[#This Row],[Rahoitus pl. hark. kor. 2020 ilman alv, €]],0)</f>
        <v>3535023</v>
      </c>
      <c r="O11" s="43">
        <f>IFERROR(Vertailu[[#This Row],[Muutos, € 1]]/Vertailu[[#This Row],[Rahoitus pl. hark. kor. 2020 ilman alv, €]],0)</f>
        <v>9.2158982308666815E-2</v>
      </c>
      <c r="P11" s="135">
        <f>IFERROR(VLOOKUP(Vertailu[[#This Row],[Y-tunnus]],'Suoritepäätös 2020'!$Q:$AC,COLUMN('Suoritepäätös 2020'!L:L),FALSE),0)</f>
        <v>38457878</v>
      </c>
      <c r="Q11" s="138">
        <f>IFERROR(VLOOKUP(Vertailu[[#This Row],[Y-tunnus]],'1.2 Ohjaus-laskentataulu'!A:AY,COLUMN('1.2 Ohjaus-laskentataulu'!AV:AV),FALSE),0)</f>
        <v>41892901</v>
      </c>
      <c r="R11" s="18">
        <f>IFERROR(Vertailu[[#This Row],[Rahoitus ml. hark. kor. 
2021 ilman alv, €]]-Vertailu[[#This Row],[Rahoitus ml. hark. kor. 
2020 ilman alv, €]],0)</f>
        <v>3435023</v>
      </c>
      <c r="S11" s="16">
        <f>IFERROR(Vertailu[[#This Row],[Muutos, € 2]]/Vertailu[[#This Row],[Rahoitus ml. hark. kor. 
2020 ilman alv, €]],0)</f>
        <v>8.9319098677259318E-2</v>
      </c>
      <c r="T11" s="138">
        <f>IFERROR(VLOOKUP(Vertailu[[#This Row],[Y-tunnus]],'Suoritepäätös 2020'!$Q:$AC,COLUMN('Suoritepäätös 2020'!L:L),FALSE)+VLOOKUP(Vertailu[[#This Row],[Y-tunnus]],'Suoritepäätös 2020'!$Q:$AC,COLUMN('Suoritepäätös 2020'!M:M),FALSE),0)</f>
        <v>40526502</v>
      </c>
      <c r="U11" s="135">
        <f>IFERROR(VLOOKUP(Vertailu[[#This Row],[Y-tunnus]],'1.2 Ohjaus-laskentataulu'!A:AY,COLUMN('1.2 Ohjaus-laskentataulu'!AX:AX),FALSE),0)</f>
        <v>44057110</v>
      </c>
      <c r="V11" s="141">
        <f>IFERROR(Vertailu[[#This Row],[Rahoitus ml. hark. kor. + alv 2021, €]]-Vertailu[[#This Row],[Rahoitus ml. hark. kor. + alv 2020, €]],0)</f>
        <v>3530608</v>
      </c>
      <c r="W11" s="43">
        <f>IFERROR(Vertailu[[#This Row],[Muutos, € 3]]/Vertailu[[#This Row],[Rahoitus ml. hark. kor. + alv 2020, €]],0)</f>
        <v>8.7118498408769646E-2</v>
      </c>
      <c r="X11" s="18">
        <f>IFERROR(VLOOKUP(Vertailu[[#This Row],[Y-tunnus]],'Suoritepäätös 2020'!$B:$N,COLUMN('Suoritepäätös 2020'!G:G),FALSE),0)</f>
        <v>32832222</v>
      </c>
      <c r="Y11" s="18">
        <f>IFERROR(VLOOKUP(Vertailu[[#This Row],[Y-tunnus]],'1.2 Ohjaus-laskentataulu'!A:AY,COLUMN('1.2 Ohjaus-laskentataulu'!AS:AS),FALSE),0)</f>
        <v>35725294</v>
      </c>
      <c r="Z11" s="18">
        <f>Vertailu[[#This Row],[Perusrahoitus 2021, €]]-Vertailu[[#This Row],[Perusrahoitus 2020, €]]</f>
        <v>2893072</v>
      </c>
      <c r="AA11" s="43">
        <f>IFERROR(Vertailu[[#This Row],[Perusrahoituksen muutos, €]]/Vertailu[[#This Row],[Perusrahoitus 2020, €]],0)</f>
        <v>8.811685057441436E-2</v>
      </c>
      <c r="AB11" s="18">
        <f>IFERROR(VLOOKUP(Vertailu[[#This Row],[Y-tunnus]],'Suoritepäätös 2020'!$B:$N,COLUMN('Suoritepäätös 2020'!M:M),FALSE),0)</f>
        <v>5115001</v>
      </c>
      <c r="AC11" s="18">
        <f>IFERROR(VLOOKUP(Vertailu[[#This Row],[Y-tunnus]],'1.2 Ohjaus-laskentataulu'!A:AY,COLUMN('1.2 Ohjaus-laskentataulu'!O:O),FALSE),0)</f>
        <v>5728261</v>
      </c>
      <c r="AD11" s="18">
        <f>Vertailu[[#This Row],[Suoritusrahoitus 2021, €]]-Vertailu[[#This Row],[Suoritusrahoitus 2020, €]]</f>
        <v>613260</v>
      </c>
      <c r="AE11" s="43">
        <f>IFERROR(Vertailu[[#This Row],[Suoritusrahoituksen muutos, €]]/Vertailu[[#This Row],[Suoritusrahoitus 2020, €]],0)</f>
        <v>0.11989440471272635</v>
      </c>
      <c r="AF11" s="18">
        <f>IFERROR(VLOOKUP(Vertailu[[#This Row],[Y-tunnus]],'Suoritepäätös 2020'!$Q:$AC,COLUMN('Suoritepäätös 2020'!K:K),FALSE),0)</f>
        <v>510655</v>
      </c>
      <c r="AG11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439346</v>
      </c>
      <c r="AH11" s="18">
        <f>Vertailu[[#This Row],[Vaikuttavuusrahoitus 2021, €]]-Vertailu[[#This Row],[Vaikuttavuusrahoitus 2020, €]]</f>
        <v>-71309</v>
      </c>
      <c r="AI11" s="43">
        <f>IFERROR(Vertailu[[#This Row],[Vaikuttavuusrahoituksen muutos, €]]/Vertailu[[#This Row],[Vaikuttavuusrahoitus 2020, €]],0)</f>
        <v>-0.13964222420225006</v>
      </c>
    </row>
    <row r="12" spans="1:35" ht="12.75" customHeight="1" x14ac:dyDescent="0.25">
      <c r="A12" s="22" t="s">
        <v>382</v>
      </c>
      <c r="B12" s="236" t="s">
        <v>198</v>
      </c>
      <c r="C12" s="142" t="s">
        <v>216</v>
      </c>
      <c r="D12" s="170" t="s">
        <v>392</v>
      </c>
      <c r="E12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0.39849780242606886</v>
      </c>
      <c r="F12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0.39849780242606886</v>
      </c>
      <c r="G12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0.17344842707780367</v>
      </c>
      <c r="H12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0.42805377049612747</v>
      </c>
      <c r="I12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0.27704433724929028</v>
      </c>
      <c r="J12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1.2707351733824833E-2</v>
      </c>
      <c r="K12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0.13830208151301235</v>
      </c>
      <c r="L12" s="18">
        <f>IFERROR(VLOOKUP(Vertailu[[#This Row],[Y-tunnus]],'Suoritepäätös 2020'!$Q:$AC,COLUMN('Suoritepäätös 2020'!L:L),FALSE)-VLOOKUP(Vertailu[[#This Row],[Y-tunnus]],'Suoritepäätös 2020'!$B:$N,COLUMN('Suoritepäätös 2020'!F:F),FALSE),0)</f>
        <v>586029</v>
      </c>
      <c r="M12" s="18">
        <f>IFERROR(VLOOKUP(Vertailu[[#This Row],[Y-tunnus]],'1.2 Ohjaus-laskentataulu'!A:AY,COLUMN('1.2 Ohjaus-laskentataulu'!Z:Z),FALSE),0)</f>
        <v>606578</v>
      </c>
      <c r="N12" s="18">
        <f>IFERROR(Vertailu[[#This Row],[Rahoitus pl. hark. kor. 2021 ilman alv, €]]-Vertailu[[#This Row],[Rahoitus pl. hark. kor. 2020 ilman alv, €]],0)</f>
        <v>20549</v>
      </c>
      <c r="O12" s="43">
        <f>IFERROR(Vertailu[[#This Row],[Muutos, € 1]]/Vertailu[[#This Row],[Rahoitus pl. hark. kor. 2020 ilman alv, €]],0)</f>
        <v>3.5064817611415132E-2</v>
      </c>
      <c r="P12" s="135">
        <f>IFERROR(VLOOKUP(Vertailu[[#This Row],[Y-tunnus]],'Suoritepäätös 2020'!$Q:$AC,COLUMN('Suoritepäätös 2020'!L:L),FALSE),0)</f>
        <v>586029</v>
      </c>
      <c r="Q12" s="138">
        <f>IFERROR(VLOOKUP(Vertailu[[#This Row],[Y-tunnus]],'1.2 Ohjaus-laskentataulu'!A:AY,COLUMN('1.2 Ohjaus-laskentataulu'!AV:AV),FALSE),0)</f>
        <v>606578</v>
      </c>
      <c r="R12" s="18">
        <f>IFERROR(Vertailu[[#This Row],[Rahoitus ml. hark. kor. 
2021 ilman alv, €]]-Vertailu[[#This Row],[Rahoitus ml. hark. kor. 
2020 ilman alv, €]],0)</f>
        <v>20549</v>
      </c>
      <c r="S12" s="16">
        <f>IFERROR(Vertailu[[#This Row],[Muutos, € 2]]/Vertailu[[#This Row],[Rahoitus ml. hark. kor. 
2020 ilman alv, €]],0)</f>
        <v>3.5064817611415132E-2</v>
      </c>
      <c r="T12" s="138">
        <f>IFERROR(VLOOKUP(Vertailu[[#This Row],[Y-tunnus]],'Suoritepäätös 2020'!$Q:$AC,COLUMN('Suoritepäätös 2020'!L:L),FALSE)+VLOOKUP(Vertailu[[#This Row],[Y-tunnus]],'Suoritepäätös 2020'!$Q:$AC,COLUMN('Suoritepäätös 2020'!M:M),FALSE),0)</f>
        <v>623810</v>
      </c>
      <c r="U12" s="135">
        <f>IFERROR(VLOOKUP(Vertailu[[#This Row],[Y-tunnus]],'1.2 Ohjaus-laskentataulu'!A:AY,COLUMN('1.2 Ohjaus-laskentataulu'!AX:AX),FALSE),0)</f>
        <v>638042</v>
      </c>
      <c r="V12" s="141">
        <f>IFERROR(Vertailu[[#This Row],[Rahoitus ml. hark. kor. + alv 2021, €]]-Vertailu[[#This Row],[Rahoitus ml. hark. kor. + alv 2020, €]],0)</f>
        <v>14232</v>
      </c>
      <c r="W12" s="43">
        <f>IFERROR(Vertailu[[#This Row],[Muutos, € 3]]/Vertailu[[#This Row],[Rahoitus ml. hark. kor. + alv 2020, €]],0)</f>
        <v>2.2814639072794601E-2</v>
      </c>
      <c r="X12" s="18">
        <f>IFERROR(VLOOKUP(Vertailu[[#This Row],[Y-tunnus]],'Suoritepäätös 2020'!$B:$N,COLUMN('Suoritepäätös 2020'!G:G),FALSE),0)</f>
        <v>258501</v>
      </c>
      <c r="Y12" s="18">
        <f>IFERROR(VLOOKUP(Vertailu[[#This Row],[Y-tunnus]],'1.2 Ohjaus-laskentataulu'!A:AY,COLUMN('1.2 Ohjaus-laskentataulu'!AS:AS),FALSE),0)</f>
        <v>241720</v>
      </c>
      <c r="Z12" s="18">
        <f>Vertailu[[#This Row],[Perusrahoitus 2021, €]]-Vertailu[[#This Row],[Perusrahoitus 2020, €]]</f>
        <v>-16781</v>
      </c>
      <c r="AA12" s="43">
        <f>IFERROR(Vertailu[[#This Row],[Perusrahoituksen muutos, €]]/Vertailu[[#This Row],[Perusrahoitus 2020, €]],0)</f>
        <v>-6.4916576725041683E-2</v>
      </c>
      <c r="AB12" s="18">
        <f>IFERROR(VLOOKUP(Vertailu[[#This Row],[Y-tunnus]],'Suoritepäätös 2020'!$B:$N,COLUMN('Suoritepäätös 2020'!M:M),FALSE),0)</f>
        <v>129887</v>
      </c>
      <c r="AC12" s="18">
        <f>IFERROR(VLOOKUP(Vertailu[[#This Row],[Y-tunnus]],'1.2 Ohjaus-laskentataulu'!A:AY,COLUMN('1.2 Ohjaus-laskentataulu'!O:O),FALSE),0)</f>
        <v>105210</v>
      </c>
      <c r="AD12" s="18">
        <f>Vertailu[[#This Row],[Suoritusrahoitus 2021, €]]-Vertailu[[#This Row],[Suoritusrahoitus 2020, €]]</f>
        <v>-24677</v>
      </c>
      <c r="AE12" s="43">
        <f>IFERROR(Vertailu[[#This Row],[Suoritusrahoituksen muutos, €]]/Vertailu[[#This Row],[Suoritusrahoitus 2020, €]],0)</f>
        <v>-0.18998822053015313</v>
      </c>
      <c r="AF12" s="18">
        <f>IFERROR(VLOOKUP(Vertailu[[#This Row],[Y-tunnus]],'Suoritepäätös 2020'!$Q:$AC,COLUMN('Suoritepäätös 2020'!K:K),FALSE),0)</f>
        <v>197641</v>
      </c>
      <c r="AG12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259648</v>
      </c>
      <c r="AH12" s="18">
        <f>Vertailu[[#This Row],[Vaikuttavuusrahoitus 2021, €]]-Vertailu[[#This Row],[Vaikuttavuusrahoitus 2020, €]]</f>
        <v>62007</v>
      </c>
      <c r="AI12" s="43">
        <f>IFERROR(Vertailu[[#This Row],[Vaikuttavuusrahoituksen muutos, €]]/Vertailu[[#This Row],[Vaikuttavuusrahoitus 2020, €]],0)</f>
        <v>0.31373551034451352</v>
      </c>
    </row>
    <row r="13" spans="1:35" ht="12.75" customHeight="1" x14ac:dyDescent="0.25">
      <c r="A13" s="22" t="s">
        <v>381</v>
      </c>
      <c r="B13" s="236" t="s">
        <v>23</v>
      </c>
      <c r="C13" s="142" t="s">
        <v>216</v>
      </c>
      <c r="D13" s="170" t="s">
        <v>392</v>
      </c>
      <c r="E13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0.68994810129444284</v>
      </c>
      <c r="F13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0.68994810129444284</v>
      </c>
      <c r="G13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0.20547328771852849</v>
      </c>
      <c r="H13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0.10457861098702868</v>
      </c>
      <c r="I13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8.2461439561198363E-2</v>
      </c>
      <c r="J13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6.710717116306753E-3</v>
      </c>
      <c r="K13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1.5406454309523563E-2</v>
      </c>
      <c r="L13" s="18">
        <f>IFERROR(VLOOKUP(Vertailu[[#This Row],[Y-tunnus]],'Suoritepäätös 2020'!$Q:$AC,COLUMN('Suoritepäätös 2020'!L:L),FALSE)-VLOOKUP(Vertailu[[#This Row],[Y-tunnus]],'Suoritepäätös 2020'!$B:$N,COLUMN('Suoritepäätös 2020'!F:F),FALSE),0)</f>
        <v>15476943</v>
      </c>
      <c r="M13" s="18">
        <f>IFERROR(VLOOKUP(Vertailu[[#This Row],[Y-tunnus]],'1.2 Ohjaus-laskentataulu'!A:AY,COLUMN('1.2 Ohjaus-laskentataulu'!Z:Z),FALSE),0)</f>
        <v>16364570</v>
      </c>
      <c r="N13" s="18">
        <f>IFERROR(Vertailu[[#This Row],[Rahoitus pl. hark. kor. 2021 ilman alv, €]]-Vertailu[[#This Row],[Rahoitus pl. hark. kor. 2020 ilman alv, €]],0)</f>
        <v>887627</v>
      </c>
      <c r="O13" s="43">
        <f>IFERROR(Vertailu[[#This Row],[Muutos, € 1]]/Vertailu[[#This Row],[Rahoitus pl. hark. kor. 2020 ilman alv, €]],0)</f>
        <v>5.7351571301903742E-2</v>
      </c>
      <c r="P13" s="135">
        <f>IFERROR(VLOOKUP(Vertailu[[#This Row],[Y-tunnus]],'Suoritepäätös 2020'!$Q:$AC,COLUMN('Suoritepäätös 2020'!L:L),FALSE),0)</f>
        <v>15476943</v>
      </c>
      <c r="Q13" s="138">
        <f>IFERROR(VLOOKUP(Vertailu[[#This Row],[Y-tunnus]],'1.2 Ohjaus-laskentataulu'!A:AY,COLUMN('1.2 Ohjaus-laskentataulu'!AV:AV),FALSE),0)</f>
        <v>16364570</v>
      </c>
      <c r="R13" s="18">
        <f>IFERROR(Vertailu[[#This Row],[Rahoitus ml. hark. kor. 
2021 ilman alv, €]]-Vertailu[[#This Row],[Rahoitus ml. hark. kor. 
2020 ilman alv, €]],0)</f>
        <v>887627</v>
      </c>
      <c r="S13" s="16">
        <f>IFERROR(Vertailu[[#This Row],[Muutos, € 2]]/Vertailu[[#This Row],[Rahoitus ml. hark. kor. 
2020 ilman alv, €]],0)</f>
        <v>5.7351571301903742E-2</v>
      </c>
      <c r="T13" s="138">
        <f>IFERROR(VLOOKUP(Vertailu[[#This Row],[Y-tunnus]],'Suoritepäätös 2020'!$Q:$AC,COLUMN('Suoritepäätös 2020'!L:L),FALSE)+VLOOKUP(Vertailu[[#This Row],[Y-tunnus]],'Suoritepäätös 2020'!$Q:$AC,COLUMN('Suoritepäätös 2020'!M:M),FALSE),0)</f>
        <v>16604681</v>
      </c>
      <c r="U13" s="135">
        <f>IFERROR(VLOOKUP(Vertailu[[#This Row],[Y-tunnus]],'1.2 Ohjaus-laskentataulu'!A:AY,COLUMN('1.2 Ohjaus-laskentataulu'!AX:AX),FALSE),0)</f>
        <v>16787913</v>
      </c>
      <c r="V13" s="141">
        <f>IFERROR(Vertailu[[#This Row],[Rahoitus ml. hark. kor. + alv 2021, €]]-Vertailu[[#This Row],[Rahoitus ml. hark. kor. + alv 2020, €]],0)</f>
        <v>183232</v>
      </c>
      <c r="W13" s="43">
        <f>IFERROR(Vertailu[[#This Row],[Muutos, € 3]]/Vertailu[[#This Row],[Rahoitus ml. hark. kor. + alv 2020, €]],0)</f>
        <v>1.1034960563229128E-2</v>
      </c>
      <c r="X13" s="18">
        <f>IFERROR(VLOOKUP(Vertailu[[#This Row],[Y-tunnus]],'Suoritepäätös 2020'!$B:$N,COLUMN('Suoritepäätös 2020'!G:G),FALSE),0)</f>
        <v>10622141</v>
      </c>
      <c r="Y13" s="18">
        <f>IFERROR(VLOOKUP(Vertailu[[#This Row],[Y-tunnus]],'1.2 Ohjaus-laskentataulu'!A:AY,COLUMN('1.2 Ohjaus-laskentataulu'!AS:AS),FALSE),0)</f>
        <v>11290704</v>
      </c>
      <c r="Z13" s="18">
        <f>Vertailu[[#This Row],[Perusrahoitus 2021, €]]-Vertailu[[#This Row],[Perusrahoitus 2020, €]]</f>
        <v>668563</v>
      </c>
      <c r="AA13" s="43">
        <f>IFERROR(Vertailu[[#This Row],[Perusrahoituksen muutos, €]]/Vertailu[[#This Row],[Perusrahoitus 2020, €]],0)</f>
        <v>6.2940512651827915E-2</v>
      </c>
      <c r="AB13" s="18">
        <f>IFERROR(VLOOKUP(Vertailu[[#This Row],[Y-tunnus]],'Suoritepäätös 2020'!$B:$N,COLUMN('Suoritepäätös 2020'!M:M),FALSE),0)</f>
        <v>3239134</v>
      </c>
      <c r="AC13" s="18">
        <f>IFERROR(VLOOKUP(Vertailu[[#This Row],[Y-tunnus]],'1.2 Ohjaus-laskentataulu'!A:AY,COLUMN('1.2 Ohjaus-laskentataulu'!O:O),FALSE),0)</f>
        <v>3362482</v>
      </c>
      <c r="AD13" s="18">
        <f>Vertailu[[#This Row],[Suoritusrahoitus 2021, €]]-Vertailu[[#This Row],[Suoritusrahoitus 2020, €]]</f>
        <v>123348</v>
      </c>
      <c r="AE13" s="43">
        <f>IFERROR(Vertailu[[#This Row],[Suoritusrahoituksen muutos, €]]/Vertailu[[#This Row],[Suoritusrahoitus 2020, €]],0)</f>
        <v>3.8080548689865872E-2</v>
      </c>
      <c r="AF13" s="18">
        <f>IFERROR(VLOOKUP(Vertailu[[#This Row],[Y-tunnus]],'Suoritepäätös 2020'!$Q:$AC,COLUMN('Suoritepäätös 2020'!K:K),FALSE),0)</f>
        <v>1615668</v>
      </c>
      <c r="AG13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1711384</v>
      </c>
      <c r="AH13" s="18">
        <f>Vertailu[[#This Row],[Vaikuttavuusrahoitus 2021, €]]-Vertailu[[#This Row],[Vaikuttavuusrahoitus 2020, €]]</f>
        <v>95716</v>
      </c>
      <c r="AI13" s="43">
        <f>IFERROR(Vertailu[[#This Row],[Vaikuttavuusrahoituksen muutos, €]]/Vertailu[[#This Row],[Vaikuttavuusrahoitus 2020, €]],0)</f>
        <v>5.9242369100582545E-2</v>
      </c>
    </row>
    <row r="14" spans="1:35" ht="12.75" customHeight="1" x14ac:dyDescent="0.25">
      <c r="A14" s="22" t="s">
        <v>217</v>
      </c>
      <c r="B14" s="236" t="s">
        <v>199</v>
      </c>
      <c r="C14" s="142" t="s">
        <v>216</v>
      </c>
      <c r="D14" s="170" t="s">
        <v>392</v>
      </c>
      <c r="E14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0.65304872867831087</v>
      </c>
      <c r="F14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0.65304872867831087</v>
      </c>
      <c r="G14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0.22231310891875269</v>
      </c>
      <c r="H14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0.12463816240293646</v>
      </c>
      <c r="I14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8.3407574553834699E-2</v>
      </c>
      <c r="J14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1.1418428677313852E-2</v>
      </c>
      <c r="K14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2.9812159171787908E-2</v>
      </c>
      <c r="L14" s="18">
        <f>IFERROR(VLOOKUP(Vertailu[[#This Row],[Y-tunnus]],'Suoritepäätös 2020'!$Q:$AC,COLUMN('Suoritepäätös 2020'!L:L),FALSE)-VLOOKUP(Vertailu[[#This Row],[Y-tunnus]],'Suoritepäätös 2020'!$B:$N,COLUMN('Suoritepäätös 2020'!F:F),FALSE),0)</f>
        <v>25908761</v>
      </c>
      <c r="M14" s="18">
        <f>IFERROR(VLOOKUP(Vertailu[[#This Row],[Y-tunnus]],'1.2 Ohjaus-laskentataulu'!A:AY,COLUMN('1.2 Ohjaus-laskentataulu'!Z:Z),FALSE),0)</f>
        <v>26880844</v>
      </c>
      <c r="N14" s="18">
        <f>IFERROR(Vertailu[[#This Row],[Rahoitus pl. hark. kor. 2021 ilman alv, €]]-Vertailu[[#This Row],[Rahoitus pl. hark. kor. 2020 ilman alv, €]],0)</f>
        <v>972083</v>
      </c>
      <c r="O14" s="43">
        <f>IFERROR(Vertailu[[#This Row],[Muutos, € 1]]/Vertailu[[#This Row],[Rahoitus pl. hark. kor. 2020 ilman alv, €]],0)</f>
        <v>3.751947073038344E-2</v>
      </c>
      <c r="P14" s="135">
        <f>IFERROR(VLOOKUP(Vertailu[[#This Row],[Y-tunnus]],'Suoritepäätös 2020'!$Q:$AC,COLUMN('Suoritepäätös 2020'!L:L),FALSE),0)</f>
        <v>26008761</v>
      </c>
      <c r="Q14" s="138">
        <f>IFERROR(VLOOKUP(Vertailu[[#This Row],[Y-tunnus]],'1.2 Ohjaus-laskentataulu'!A:AY,COLUMN('1.2 Ohjaus-laskentataulu'!AV:AV),FALSE),0)</f>
        <v>26880844</v>
      </c>
      <c r="R14" s="18">
        <f>IFERROR(Vertailu[[#This Row],[Rahoitus ml. hark. kor. 
2021 ilman alv, €]]-Vertailu[[#This Row],[Rahoitus ml. hark. kor. 
2020 ilman alv, €]],0)</f>
        <v>872083</v>
      </c>
      <c r="S14" s="16">
        <f>IFERROR(Vertailu[[#This Row],[Muutos, € 2]]/Vertailu[[#This Row],[Rahoitus ml. hark. kor. 
2020 ilman alv, €]],0)</f>
        <v>3.3530355406011077E-2</v>
      </c>
      <c r="T14" s="138">
        <f>IFERROR(VLOOKUP(Vertailu[[#This Row],[Y-tunnus]],'Suoritepäätös 2020'!$Q:$AC,COLUMN('Suoritepäätös 2020'!L:L),FALSE)+VLOOKUP(Vertailu[[#This Row],[Y-tunnus]],'Suoritepäätös 2020'!$Q:$AC,COLUMN('Suoritepäätös 2020'!M:M),FALSE),0)</f>
        <v>27423745</v>
      </c>
      <c r="U14" s="135">
        <f>IFERROR(VLOOKUP(Vertailu[[#This Row],[Y-tunnus]],'1.2 Ohjaus-laskentataulu'!A:AY,COLUMN('1.2 Ohjaus-laskentataulu'!AX:AX),FALSE),0)</f>
        <v>28869895</v>
      </c>
      <c r="V14" s="141">
        <f>IFERROR(Vertailu[[#This Row],[Rahoitus ml. hark. kor. + alv 2021, €]]-Vertailu[[#This Row],[Rahoitus ml. hark. kor. + alv 2020, €]],0)</f>
        <v>1446150</v>
      </c>
      <c r="W14" s="43">
        <f>IFERROR(Vertailu[[#This Row],[Muutos, € 3]]/Vertailu[[#This Row],[Rahoitus ml. hark. kor. + alv 2020, €]],0)</f>
        <v>5.2733497923059015E-2</v>
      </c>
      <c r="X14" s="18">
        <f>IFERROR(VLOOKUP(Vertailu[[#This Row],[Y-tunnus]],'Suoritepäätös 2020'!$B:$N,COLUMN('Suoritepäätös 2020'!G:G),FALSE),0)</f>
        <v>16429815</v>
      </c>
      <c r="Y14" s="18">
        <f>IFERROR(VLOOKUP(Vertailu[[#This Row],[Y-tunnus]],'1.2 Ohjaus-laskentataulu'!A:AY,COLUMN('1.2 Ohjaus-laskentataulu'!AS:AS),FALSE),0)</f>
        <v>17554501</v>
      </c>
      <c r="Z14" s="18">
        <f>Vertailu[[#This Row],[Perusrahoitus 2021, €]]-Vertailu[[#This Row],[Perusrahoitus 2020, €]]</f>
        <v>1124686</v>
      </c>
      <c r="AA14" s="43">
        <f>IFERROR(Vertailu[[#This Row],[Perusrahoituksen muutos, €]]/Vertailu[[#This Row],[Perusrahoitus 2020, €]],0)</f>
        <v>6.8453966158474697E-2</v>
      </c>
      <c r="AB14" s="18">
        <f>IFERROR(VLOOKUP(Vertailu[[#This Row],[Y-tunnus]],'Suoritepäätös 2020'!$B:$N,COLUMN('Suoritepäätös 2020'!M:M),FALSE),0)</f>
        <v>6037473</v>
      </c>
      <c r="AC14" s="18">
        <f>IFERROR(VLOOKUP(Vertailu[[#This Row],[Y-tunnus]],'1.2 Ohjaus-laskentataulu'!A:AY,COLUMN('1.2 Ohjaus-laskentataulu'!O:O),FALSE),0)</f>
        <v>5975964</v>
      </c>
      <c r="AD14" s="18">
        <f>Vertailu[[#This Row],[Suoritusrahoitus 2021, €]]-Vertailu[[#This Row],[Suoritusrahoitus 2020, €]]</f>
        <v>-61509</v>
      </c>
      <c r="AE14" s="43">
        <f>IFERROR(Vertailu[[#This Row],[Suoritusrahoituksen muutos, €]]/Vertailu[[#This Row],[Suoritusrahoitus 2020, €]],0)</f>
        <v>-1.0187871647624759E-2</v>
      </c>
      <c r="AF14" s="18">
        <f>IFERROR(VLOOKUP(Vertailu[[#This Row],[Y-tunnus]],'Suoritepäätös 2020'!$Q:$AC,COLUMN('Suoritepäätös 2020'!K:K),FALSE),0)</f>
        <v>3541473</v>
      </c>
      <c r="AG14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3350379</v>
      </c>
      <c r="AH14" s="18">
        <f>Vertailu[[#This Row],[Vaikuttavuusrahoitus 2021, €]]-Vertailu[[#This Row],[Vaikuttavuusrahoitus 2020, €]]</f>
        <v>-191094</v>
      </c>
      <c r="AI14" s="43">
        <f>IFERROR(Vertailu[[#This Row],[Vaikuttavuusrahoituksen muutos, €]]/Vertailu[[#This Row],[Vaikuttavuusrahoitus 2020, €]],0)</f>
        <v>-5.3958903540984218E-2</v>
      </c>
    </row>
    <row r="15" spans="1:35" ht="12.75" customHeight="1" x14ac:dyDescent="0.25">
      <c r="A15" s="22" t="s">
        <v>379</v>
      </c>
      <c r="B15" s="236" t="s">
        <v>24</v>
      </c>
      <c r="C15" s="142" t="s">
        <v>216</v>
      </c>
      <c r="D15" s="170" t="s">
        <v>392</v>
      </c>
      <c r="E15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0.39850598368778106</v>
      </c>
      <c r="F15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0.39850598368778106</v>
      </c>
      <c r="G15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0.38099321594633739</v>
      </c>
      <c r="H15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0.22050080036588154</v>
      </c>
      <c r="I15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</v>
      </c>
      <c r="J15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0</v>
      </c>
      <c r="K15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0.22050080036588154</v>
      </c>
      <c r="L15" s="18">
        <f>IFERROR(VLOOKUP(Vertailu[[#This Row],[Y-tunnus]],'Suoritepäätös 2020'!$Q:$AC,COLUMN('Suoritepäätös 2020'!L:L),FALSE)-VLOOKUP(Vertailu[[#This Row],[Y-tunnus]],'Suoritepäätös 2020'!$B:$N,COLUMN('Suoritepäätös 2020'!F:F),FALSE),0)</f>
        <v>79328</v>
      </c>
      <c r="M15" s="18">
        <f>IFERROR(VLOOKUP(Vertailu[[#This Row],[Y-tunnus]],'1.2 Ohjaus-laskentataulu'!A:AY,COLUMN('1.2 Ohjaus-laskentataulu'!Z:Z),FALSE),0)</f>
        <v>52476</v>
      </c>
      <c r="N15" s="18">
        <f>IFERROR(Vertailu[[#This Row],[Rahoitus pl. hark. kor. 2021 ilman alv, €]]-Vertailu[[#This Row],[Rahoitus pl. hark. kor. 2020 ilman alv, €]],0)</f>
        <v>-26852</v>
      </c>
      <c r="O15" s="43">
        <f>IFERROR(Vertailu[[#This Row],[Muutos, € 1]]/Vertailu[[#This Row],[Rahoitus pl. hark. kor. 2020 ilman alv, €]],0)</f>
        <v>-0.33849334409035903</v>
      </c>
      <c r="P15" s="135">
        <f>IFERROR(VLOOKUP(Vertailu[[#This Row],[Y-tunnus]],'Suoritepäätös 2020'!$Q:$AC,COLUMN('Suoritepäätös 2020'!L:L),FALSE),0)</f>
        <v>79328</v>
      </c>
      <c r="Q15" s="138">
        <f>IFERROR(VLOOKUP(Vertailu[[#This Row],[Y-tunnus]],'1.2 Ohjaus-laskentataulu'!A:AY,COLUMN('1.2 Ohjaus-laskentataulu'!AV:AV),FALSE),0)</f>
        <v>52476</v>
      </c>
      <c r="R15" s="18">
        <f>IFERROR(Vertailu[[#This Row],[Rahoitus ml. hark. kor. 
2021 ilman alv, €]]-Vertailu[[#This Row],[Rahoitus ml. hark. kor. 
2020 ilman alv, €]],0)</f>
        <v>-26852</v>
      </c>
      <c r="S15" s="16">
        <f>IFERROR(Vertailu[[#This Row],[Muutos, € 2]]/Vertailu[[#This Row],[Rahoitus ml. hark. kor. 
2020 ilman alv, €]],0)</f>
        <v>-0.33849334409035903</v>
      </c>
      <c r="T15" s="138">
        <f>IFERROR(VLOOKUP(Vertailu[[#This Row],[Y-tunnus]],'Suoritepäätös 2020'!$Q:$AC,COLUMN('Suoritepäätös 2020'!L:L),FALSE)+VLOOKUP(Vertailu[[#This Row],[Y-tunnus]],'Suoritepäätös 2020'!$Q:$AC,COLUMN('Suoritepäätös 2020'!M:M),FALSE),0)</f>
        <v>79328</v>
      </c>
      <c r="U15" s="135">
        <f>IFERROR(VLOOKUP(Vertailu[[#This Row],[Y-tunnus]],'1.2 Ohjaus-laskentataulu'!A:AY,COLUMN('1.2 Ohjaus-laskentataulu'!AX:AX),FALSE),0)</f>
        <v>52476</v>
      </c>
      <c r="V15" s="141">
        <f>IFERROR(Vertailu[[#This Row],[Rahoitus ml. hark. kor. + alv 2021, €]]-Vertailu[[#This Row],[Rahoitus ml. hark. kor. + alv 2020, €]],0)</f>
        <v>-26852</v>
      </c>
      <c r="W15" s="43">
        <f>IFERROR(Vertailu[[#This Row],[Muutos, € 3]]/Vertailu[[#This Row],[Rahoitus ml. hark. kor. + alv 2020, €]],0)</f>
        <v>-0.33849334409035903</v>
      </c>
      <c r="X15" s="18">
        <f>IFERROR(VLOOKUP(Vertailu[[#This Row],[Y-tunnus]],'Suoritepäätös 2020'!$B:$N,COLUMN('Suoritepäätös 2020'!G:G),FALSE),0)</f>
        <v>39542</v>
      </c>
      <c r="Y15" s="18">
        <f>IFERROR(VLOOKUP(Vertailu[[#This Row],[Y-tunnus]],'1.2 Ohjaus-laskentataulu'!A:AY,COLUMN('1.2 Ohjaus-laskentataulu'!AS:AS),FALSE),0)</f>
        <v>20912</v>
      </c>
      <c r="Z15" s="18">
        <f>Vertailu[[#This Row],[Perusrahoitus 2021, €]]-Vertailu[[#This Row],[Perusrahoitus 2020, €]]</f>
        <v>-18630</v>
      </c>
      <c r="AA15" s="43">
        <f>IFERROR(Vertailu[[#This Row],[Perusrahoituksen muutos, €]]/Vertailu[[#This Row],[Perusrahoitus 2020, €]],0)</f>
        <v>-0.47114460573567346</v>
      </c>
      <c r="AB15" s="18">
        <f>IFERROR(VLOOKUP(Vertailu[[#This Row],[Y-tunnus]],'Suoritepäätös 2020'!$B:$N,COLUMN('Suoritepäätös 2020'!M:M),FALSE),0)</f>
        <v>16422</v>
      </c>
      <c r="AC15" s="18">
        <f>IFERROR(VLOOKUP(Vertailu[[#This Row],[Y-tunnus]],'1.2 Ohjaus-laskentataulu'!A:AY,COLUMN('1.2 Ohjaus-laskentataulu'!O:O),FALSE),0)</f>
        <v>19993</v>
      </c>
      <c r="AD15" s="18">
        <f>Vertailu[[#This Row],[Suoritusrahoitus 2021, €]]-Vertailu[[#This Row],[Suoritusrahoitus 2020, €]]</f>
        <v>3571</v>
      </c>
      <c r="AE15" s="43">
        <f>IFERROR(Vertailu[[#This Row],[Suoritusrahoituksen muutos, €]]/Vertailu[[#This Row],[Suoritusrahoitus 2020, €]],0)</f>
        <v>0.2174521982706126</v>
      </c>
      <c r="AF15" s="18">
        <f>IFERROR(VLOOKUP(Vertailu[[#This Row],[Y-tunnus]],'Suoritepäätös 2020'!$Q:$AC,COLUMN('Suoritepäätös 2020'!K:K),FALSE),0)</f>
        <v>23364</v>
      </c>
      <c r="AG15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11571</v>
      </c>
      <c r="AH15" s="18">
        <f>Vertailu[[#This Row],[Vaikuttavuusrahoitus 2021, €]]-Vertailu[[#This Row],[Vaikuttavuusrahoitus 2020, €]]</f>
        <v>-11793</v>
      </c>
      <c r="AI15" s="43">
        <f>IFERROR(Vertailu[[#This Row],[Vaikuttavuusrahoituksen muutos, €]]/Vertailu[[#This Row],[Vaikuttavuusrahoitus 2020, €]],0)</f>
        <v>-0.50475089881869539</v>
      </c>
    </row>
    <row r="16" spans="1:35" ht="12.75" customHeight="1" x14ac:dyDescent="0.25">
      <c r="A16" s="22" t="s">
        <v>378</v>
      </c>
      <c r="B16" s="236" t="s">
        <v>25</v>
      </c>
      <c r="C16" s="142" t="s">
        <v>216</v>
      </c>
      <c r="D16" s="170" t="s">
        <v>391</v>
      </c>
      <c r="E16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0.6889969457567986</v>
      </c>
      <c r="F16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0.68962099730386117</v>
      </c>
      <c r="G16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0.19944810567803589</v>
      </c>
      <c r="H16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0.11093089701810292</v>
      </c>
      <c r="I16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9.7599486213301431E-2</v>
      </c>
      <c r="J16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5.5271570873011346E-3</v>
      </c>
      <c r="K16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7.8042537175003653E-3</v>
      </c>
      <c r="L16" s="18">
        <f>IFERROR(VLOOKUP(Vertailu[[#This Row],[Y-tunnus]],'Suoritepäätös 2020'!$Q:$AC,COLUMN('Suoritepäätös 2020'!L:L),FALSE)-VLOOKUP(Vertailu[[#This Row],[Y-tunnus]],'Suoritepäätös 2020'!$B:$N,COLUMN('Suoritepäätös 2020'!F:F),FALSE),0)</f>
        <v>58367675</v>
      </c>
      <c r="M16" s="18">
        <f>IFERROR(VLOOKUP(Vertailu[[#This Row],[Y-tunnus]],'1.2 Ohjaus-laskentataulu'!A:AY,COLUMN('1.2 Ohjaus-laskentataulu'!Z:Z),FALSE),0)</f>
        <v>59252974</v>
      </c>
      <c r="N16" s="18">
        <f>IFERROR(Vertailu[[#This Row],[Rahoitus pl. hark. kor. 2021 ilman alv, €]]-Vertailu[[#This Row],[Rahoitus pl. hark. kor. 2020 ilman alv, €]],0)</f>
        <v>885299</v>
      </c>
      <c r="O16" s="43">
        <f>IFERROR(Vertailu[[#This Row],[Muutos, € 1]]/Vertailu[[#This Row],[Rahoitus pl. hark. kor. 2020 ilman alv, €]],0)</f>
        <v>1.516762488826221E-2</v>
      </c>
      <c r="P16" s="135">
        <f>IFERROR(VLOOKUP(Vertailu[[#This Row],[Y-tunnus]],'Suoritepäätös 2020'!$Q:$AC,COLUMN('Suoritepäätös 2020'!L:L),FALSE),0)</f>
        <v>58577675</v>
      </c>
      <c r="Q16" s="138">
        <f>IFERROR(VLOOKUP(Vertailu[[#This Row],[Y-tunnus]],'1.2 Ohjaus-laskentataulu'!A:AY,COLUMN('1.2 Ohjaus-laskentataulu'!AV:AV),FALSE),0)</f>
        <v>59289974</v>
      </c>
      <c r="R16" s="18">
        <f>IFERROR(Vertailu[[#This Row],[Rahoitus ml. hark. kor. 
2021 ilman alv, €]]-Vertailu[[#This Row],[Rahoitus ml. hark. kor. 
2020 ilman alv, €]],0)</f>
        <v>712299</v>
      </c>
      <c r="S16" s="16">
        <f>IFERROR(Vertailu[[#This Row],[Muutos, € 2]]/Vertailu[[#This Row],[Rahoitus ml. hark. kor. 
2020 ilman alv, €]],0)</f>
        <v>1.2159905629576456E-2</v>
      </c>
      <c r="T16" s="138">
        <f>IFERROR(VLOOKUP(Vertailu[[#This Row],[Y-tunnus]],'Suoritepäätös 2020'!$Q:$AC,COLUMN('Suoritepäätös 2020'!L:L),FALSE)+VLOOKUP(Vertailu[[#This Row],[Y-tunnus]],'Suoritepäätös 2020'!$Q:$AC,COLUMN('Suoritepäätös 2020'!M:M),FALSE),0)</f>
        <v>58577675</v>
      </c>
      <c r="U16" s="135">
        <f>IFERROR(VLOOKUP(Vertailu[[#This Row],[Y-tunnus]],'1.2 Ohjaus-laskentataulu'!A:AY,COLUMN('1.2 Ohjaus-laskentataulu'!AX:AX),FALSE),0)</f>
        <v>59289974</v>
      </c>
      <c r="V16" s="141">
        <f>IFERROR(Vertailu[[#This Row],[Rahoitus ml. hark. kor. + alv 2021, €]]-Vertailu[[#This Row],[Rahoitus ml. hark. kor. + alv 2020, €]],0)</f>
        <v>712299</v>
      </c>
      <c r="W16" s="43">
        <f>IFERROR(Vertailu[[#This Row],[Muutos, € 3]]/Vertailu[[#This Row],[Rahoitus ml. hark. kor. + alv 2020, €]],0)</f>
        <v>1.2159905629576456E-2</v>
      </c>
      <c r="X16" s="18">
        <f>IFERROR(VLOOKUP(Vertailu[[#This Row],[Y-tunnus]],'Suoritepäätös 2020'!$B:$N,COLUMN('Suoritepäätös 2020'!G:G),FALSE),0)</f>
        <v>38399068</v>
      </c>
      <c r="Y16" s="18">
        <f>IFERROR(VLOOKUP(Vertailu[[#This Row],[Y-tunnus]],'1.2 Ohjaus-laskentataulu'!A:AY,COLUMN('1.2 Ohjaus-laskentataulu'!AS:AS),FALSE),0)</f>
        <v>40887611</v>
      </c>
      <c r="Z16" s="18">
        <f>Vertailu[[#This Row],[Perusrahoitus 2021, €]]-Vertailu[[#This Row],[Perusrahoitus 2020, €]]</f>
        <v>2488543</v>
      </c>
      <c r="AA16" s="43">
        <f>IFERROR(Vertailu[[#This Row],[Perusrahoituksen muutos, €]]/Vertailu[[#This Row],[Perusrahoitus 2020, €]],0)</f>
        <v>6.4807380220790772E-2</v>
      </c>
      <c r="AB16" s="18">
        <f>IFERROR(VLOOKUP(Vertailu[[#This Row],[Y-tunnus]],'Suoritepäätös 2020'!$B:$N,COLUMN('Suoritepäätös 2020'!M:M),FALSE),0)</f>
        <v>13629121</v>
      </c>
      <c r="AC16" s="18">
        <f>IFERROR(VLOOKUP(Vertailu[[#This Row],[Y-tunnus]],'1.2 Ohjaus-laskentataulu'!A:AY,COLUMN('1.2 Ohjaus-laskentataulu'!O:O),FALSE),0)</f>
        <v>11825273</v>
      </c>
      <c r="AD16" s="18">
        <f>Vertailu[[#This Row],[Suoritusrahoitus 2021, €]]-Vertailu[[#This Row],[Suoritusrahoitus 2020, €]]</f>
        <v>-1803848</v>
      </c>
      <c r="AE16" s="43">
        <f>IFERROR(Vertailu[[#This Row],[Suoritusrahoituksen muutos, €]]/Vertailu[[#This Row],[Suoritusrahoitus 2020, €]],0)</f>
        <v>-0.13235248259957483</v>
      </c>
      <c r="AF16" s="18">
        <f>IFERROR(VLOOKUP(Vertailu[[#This Row],[Y-tunnus]],'Suoritepäätös 2020'!$Q:$AC,COLUMN('Suoritepäätös 2020'!K:K),FALSE),0)</f>
        <v>6549486</v>
      </c>
      <c r="AG16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6577090</v>
      </c>
      <c r="AH16" s="18">
        <f>Vertailu[[#This Row],[Vaikuttavuusrahoitus 2021, €]]-Vertailu[[#This Row],[Vaikuttavuusrahoitus 2020, €]]</f>
        <v>27604</v>
      </c>
      <c r="AI16" s="43">
        <f>IFERROR(Vertailu[[#This Row],[Vaikuttavuusrahoituksen muutos, €]]/Vertailu[[#This Row],[Vaikuttavuusrahoitus 2020, €]],0)</f>
        <v>4.2146818849601326E-3</v>
      </c>
    </row>
    <row r="17" spans="1:35" ht="12.75" customHeight="1" x14ac:dyDescent="0.25">
      <c r="A17" s="98" t="s">
        <v>377</v>
      </c>
      <c r="B17" s="236" t="s">
        <v>26</v>
      </c>
      <c r="C17" s="142" t="s">
        <v>376</v>
      </c>
      <c r="D17" s="170" t="s">
        <v>391</v>
      </c>
      <c r="E17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0.67784927187552635</v>
      </c>
      <c r="F17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0.67784927187552635</v>
      </c>
      <c r="G17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0.21150648921367446</v>
      </c>
      <c r="H17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0.11064423891079916</v>
      </c>
      <c r="I17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8.146361705477774E-2</v>
      </c>
      <c r="J17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6.2167923192778989E-3</v>
      </c>
      <c r="K17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2.2963829536743533E-2</v>
      </c>
      <c r="L17" s="18">
        <f>IFERROR(VLOOKUP(Vertailu[[#This Row],[Y-tunnus]],'Suoritepäätös 2020'!$Q:$AC,COLUMN('Suoritepäätös 2020'!L:L),FALSE)-VLOOKUP(Vertailu[[#This Row],[Y-tunnus]],'Suoritepäätös 2020'!$B:$N,COLUMN('Suoritepäätös 2020'!F:F),FALSE),0)</f>
        <v>29136092</v>
      </c>
      <c r="M17" s="18">
        <f>IFERROR(VLOOKUP(Vertailu[[#This Row],[Y-tunnus]],'1.2 Ohjaus-laskentataulu'!A:AY,COLUMN('1.2 Ohjaus-laskentataulu'!Z:Z),FALSE),0)</f>
        <v>28395351</v>
      </c>
      <c r="N17" s="18">
        <f>IFERROR(Vertailu[[#This Row],[Rahoitus pl. hark. kor. 2021 ilman alv, €]]-Vertailu[[#This Row],[Rahoitus pl. hark. kor. 2020 ilman alv, €]],0)</f>
        <v>-740741</v>
      </c>
      <c r="O17" s="43">
        <f>IFERROR(Vertailu[[#This Row],[Muutos, € 1]]/Vertailu[[#This Row],[Rahoitus pl. hark. kor. 2020 ilman alv, €]],0)</f>
        <v>-2.5423485071367841E-2</v>
      </c>
      <c r="P17" s="135">
        <f>IFERROR(VLOOKUP(Vertailu[[#This Row],[Y-tunnus]],'Suoritepäätös 2020'!$Q:$AC,COLUMN('Suoritepäätös 2020'!L:L),FALSE),0)</f>
        <v>29236092</v>
      </c>
      <c r="Q17" s="138">
        <f>IFERROR(VLOOKUP(Vertailu[[#This Row],[Y-tunnus]],'1.2 Ohjaus-laskentataulu'!A:AY,COLUMN('1.2 Ohjaus-laskentataulu'!AV:AV),FALSE),0)</f>
        <v>28395351</v>
      </c>
      <c r="R17" s="18">
        <f>IFERROR(Vertailu[[#This Row],[Rahoitus ml. hark. kor. 
2021 ilman alv, €]]-Vertailu[[#This Row],[Rahoitus ml. hark. kor. 
2020 ilman alv, €]],0)</f>
        <v>-840741</v>
      </c>
      <c r="S17" s="16">
        <f>IFERROR(Vertailu[[#This Row],[Muutos, € 2]]/Vertailu[[#This Row],[Rahoitus ml. hark. kor. 
2020 ilman alv, €]],0)</f>
        <v>-2.8756955614998064E-2</v>
      </c>
      <c r="T17" s="138">
        <f>IFERROR(VLOOKUP(Vertailu[[#This Row],[Y-tunnus]],'Suoritepäätös 2020'!$Q:$AC,COLUMN('Suoritepäätös 2020'!L:L),FALSE)+VLOOKUP(Vertailu[[#This Row],[Y-tunnus]],'Suoritepäätös 2020'!$Q:$AC,COLUMN('Suoritepäätös 2020'!M:M),FALSE),0)</f>
        <v>29236092</v>
      </c>
      <c r="U17" s="135">
        <f>IFERROR(VLOOKUP(Vertailu[[#This Row],[Y-tunnus]],'1.2 Ohjaus-laskentataulu'!A:AY,COLUMN('1.2 Ohjaus-laskentataulu'!AX:AX),FALSE),0)</f>
        <v>28395351</v>
      </c>
      <c r="V17" s="141">
        <f>IFERROR(Vertailu[[#This Row],[Rahoitus ml. hark. kor. + alv 2021, €]]-Vertailu[[#This Row],[Rahoitus ml. hark. kor. + alv 2020, €]],0)</f>
        <v>-840741</v>
      </c>
      <c r="W17" s="43">
        <f>IFERROR(Vertailu[[#This Row],[Muutos, € 3]]/Vertailu[[#This Row],[Rahoitus ml. hark. kor. + alv 2020, €]],0)</f>
        <v>-2.8756955614998064E-2</v>
      </c>
      <c r="X17" s="18">
        <f>IFERROR(VLOOKUP(Vertailu[[#This Row],[Y-tunnus]],'Suoritepäätös 2020'!$B:$N,COLUMN('Suoritepäätös 2020'!G:G),FALSE),0)</f>
        <v>19109252</v>
      </c>
      <c r="Y17" s="18">
        <f>IFERROR(VLOOKUP(Vertailu[[#This Row],[Y-tunnus]],'1.2 Ohjaus-laskentataulu'!A:AY,COLUMN('1.2 Ohjaus-laskentataulu'!AS:AS),FALSE),0)</f>
        <v>19247768</v>
      </c>
      <c r="Z17" s="18">
        <f>Vertailu[[#This Row],[Perusrahoitus 2021, €]]-Vertailu[[#This Row],[Perusrahoitus 2020, €]]</f>
        <v>138516</v>
      </c>
      <c r="AA17" s="43">
        <f>IFERROR(Vertailu[[#This Row],[Perusrahoituksen muutos, €]]/Vertailu[[#This Row],[Perusrahoitus 2020, €]],0)</f>
        <v>7.2486353730643145E-3</v>
      </c>
      <c r="AB17" s="18">
        <f>IFERROR(VLOOKUP(Vertailu[[#This Row],[Y-tunnus]],'Suoritepäätös 2020'!$B:$N,COLUMN('Suoritepäätös 2020'!M:M),FALSE),0)</f>
        <v>6467371</v>
      </c>
      <c r="AC17" s="18">
        <f>IFERROR(VLOOKUP(Vertailu[[#This Row],[Y-tunnus]],'1.2 Ohjaus-laskentataulu'!A:AY,COLUMN('1.2 Ohjaus-laskentataulu'!O:O),FALSE),0)</f>
        <v>6005801</v>
      </c>
      <c r="AD17" s="18">
        <f>Vertailu[[#This Row],[Suoritusrahoitus 2021, €]]-Vertailu[[#This Row],[Suoritusrahoitus 2020, €]]</f>
        <v>-461570</v>
      </c>
      <c r="AE17" s="43">
        <f>IFERROR(Vertailu[[#This Row],[Suoritusrahoituksen muutos, €]]/Vertailu[[#This Row],[Suoritusrahoitus 2020, €]],0)</f>
        <v>-7.1369030785461363E-2</v>
      </c>
      <c r="AF17" s="18">
        <f>IFERROR(VLOOKUP(Vertailu[[#This Row],[Y-tunnus]],'Suoritepäätös 2020'!$Q:$AC,COLUMN('Suoritepäätös 2020'!K:K),FALSE),0)</f>
        <v>3659469</v>
      </c>
      <c r="AG17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3141782</v>
      </c>
      <c r="AH17" s="18">
        <f>Vertailu[[#This Row],[Vaikuttavuusrahoitus 2021, €]]-Vertailu[[#This Row],[Vaikuttavuusrahoitus 2020, €]]</f>
        <v>-517687</v>
      </c>
      <c r="AI17" s="43">
        <f>IFERROR(Vertailu[[#This Row],[Vaikuttavuusrahoituksen muutos, €]]/Vertailu[[#This Row],[Vaikuttavuusrahoitus 2020, €]],0)</f>
        <v>-0.14146505954825686</v>
      </c>
    </row>
    <row r="18" spans="1:35" ht="12.75" customHeight="1" x14ac:dyDescent="0.25">
      <c r="A18" s="98" t="s">
        <v>375</v>
      </c>
      <c r="B18" s="236" t="s">
        <v>27</v>
      </c>
      <c r="C18" s="142" t="s">
        <v>250</v>
      </c>
      <c r="D18" s="170" t="s">
        <v>392</v>
      </c>
      <c r="E18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0.69002375371162084</v>
      </c>
      <c r="F18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0.69002375371162084</v>
      </c>
      <c r="G18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0.20319549590410196</v>
      </c>
      <c r="H18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0.10678075038427717</v>
      </c>
      <c r="I18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8.379156619119893E-2</v>
      </c>
      <c r="J18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5.7276854729234128E-3</v>
      </c>
      <c r="K18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1.7261498720154828E-2</v>
      </c>
      <c r="L18" s="18">
        <f>IFERROR(VLOOKUP(Vertailu[[#This Row],[Y-tunnus]],'Suoritepäätös 2020'!$Q:$AC,COLUMN('Suoritepäätös 2020'!L:L),FALSE)-VLOOKUP(Vertailu[[#This Row],[Y-tunnus]],'Suoritepäätös 2020'!$B:$N,COLUMN('Suoritepäätös 2020'!F:F),FALSE),0)</f>
        <v>26565551</v>
      </c>
      <c r="M18" s="18">
        <f>IFERROR(VLOOKUP(Vertailu[[#This Row],[Y-tunnus]],'1.2 Ohjaus-laskentataulu'!A:AY,COLUMN('1.2 Ohjaus-laskentataulu'!Z:Z),FALSE),0)</f>
        <v>27191961</v>
      </c>
      <c r="N18" s="18">
        <f>IFERROR(Vertailu[[#This Row],[Rahoitus pl. hark. kor. 2021 ilman alv, €]]-Vertailu[[#This Row],[Rahoitus pl. hark. kor. 2020 ilman alv, €]],0)</f>
        <v>626410</v>
      </c>
      <c r="O18" s="43">
        <f>IFERROR(Vertailu[[#This Row],[Muutos, € 1]]/Vertailu[[#This Row],[Rahoitus pl. hark. kor. 2020 ilman alv, €]],0)</f>
        <v>2.3579785715718827E-2</v>
      </c>
      <c r="P18" s="135">
        <f>IFERROR(VLOOKUP(Vertailu[[#This Row],[Y-tunnus]],'Suoritepäätös 2020'!$Q:$AC,COLUMN('Suoritepäätös 2020'!L:L),FALSE),0)</f>
        <v>26655551</v>
      </c>
      <c r="Q18" s="138">
        <f>IFERROR(VLOOKUP(Vertailu[[#This Row],[Y-tunnus]],'1.2 Ohjaus-laskentataulu'!A:AY,COLUMN('1.2 Ohjaus-laskentataulu'!AV:AV),FALSE),0)</f>
        <v>27191961</v>
      </c>
      <c r="R18" s="18">
        <f>IFERROR(Vertailu[[#This Row],[Rahoitus ml. hark. kor. 
2021 ilman alv, €]]-Vertailu[[#This Row],[Rahoitus ml. hark. kor. 
2020 ilman alv, €]],0)</f>
        <v>536410</v>
      </c>
      <c r="S18" s="16">
        <f>IFERROR(Vertailu[[#This Row],[Muutos, € 2]]/Vertailu[[#This Row],[Rahoitus ml. hark. kor. 
2020 ilman alv, €]],0)</f>
        <v>2.0123763339200903E-2</v>
      </c>
      <c r="T18" s="138">
        <f>IFERROR(VLOOKUP(Vertailu[[#This Row],[Y-tunnus]],'Suoritepäätös 2020'!$Q:$AC,COLUMN('Suoritepäätös 2020'!L:L),FALSE)+VLOOKUP(Vertailu[[#This Row],[Y-tunnus]],'Suoritepäätös 2020'!$Q:$AC,COLUMN('Suoritepäätös 2020'!M:M),FALSE),0)</f>
        <v>28257672</v>
      </c>
      <c r="U18" s="135">
        <f>IFERROR(VLOOKUP(Vertailu[[#This Row],[Y-tunnus]],'1.2 Ohjaus-laskentataulu'!A:AY,COLUMN('1.2 Ohjaus-laskentataulu'!AX:AX),FALSE),0)</f>
        <v>28847678</v>
      </c>
      <c r="V18" s="141">
        <f>IFERROR(Vertailu[[#This Row],[Rahoitus ml. hark. kor. + alv 2021, €]]-Vertailu[[#This Row],[Rahoitus ml. hark. kor. + alv 2020, €]],0)</f>
        <v>590006</v>
      </c>
      <c r="W18" s="43">
        <f>IFERROR(Vertailu[[#This Row],[Muutos, € 3]]/Vertailu[[#This Row],[Rahoitus ml. hark. kor. + alv 2020, €]],0)</f>
        <v>2.0879497787361961E-2</v>
      </c>
      <c r="X18" s="18">
        <f>IFERROR(VLOOKUP(Vertailu[[#This Row],[Y-tunnus]],'Suoritepäätös 2020'!$B:$N,COLUMN('Suoritepäätös 2020'!G:G),FALSE),0)</f>
        <v>17973180</v>
      </c>
      <c r="Y18" s="18">
        <f>IFERROR(VLOOKUP(Vertailu[[#This Row],[Y-tunnus]],'1.2 Ohjaus-laskentataulu'!A:AY,COLUMN('1.2 Ohjaus-laskentataulu'!AS:AS),FALSE),0)</f>
        <v>18763099</v>
      </c>
      <c r="Z18" s="18">
        <f>Vertailu[[#This Row],[Perusrahoitus 2021, €]]-Vertailu[[#This Row],[Perusrahoitus 2020, €]]</f>
        <v>789919</v>
      </c>
      <c r="AA18" s="43">
        <f>IFERROR(Vertailu[[#This Row],[Perusrahoituksen muutos, €]]/Vertailu[[#This Row],[Perusrahoitus 2020, €]],0)</f>
        <v>4.3949874201449045E-2</v>
      </c>
      <c r="AB18" s="18">
        <f>IFERROR(VLOOKUP(Vertailu[[#This Row],[Y-tunnus]],'Suoritepäätös 2020'!$B:$N,COLUMN('Suoritepäätös 2020'!M:M),FALSE),0)</f>
        <v>5848373</v>
      </c>
      <c r="AC18" s="18">
        <f>IFERROR(VLOOKUP(Vertailu[[#This Row],[Y-tunnus]],'1.2 Ohjaus-laskentataulu'!A:AY,COLUMN('1.2 Ohjaus-laskentataulu'!O:O),FALSE),0)</f>
        <v>5525284</v>
      </c>
      <c r="AD18" s="18">
        <f>Vertailu[[#This Row],[Suoritusrahoitus 2021, €]]-Vertailu[[#This Row],[Suoritusrahoitus 2020, €]]</f>
        <v>-323089</v>
      </c>
      <c r="AE18" s="43">
        <f>IFERROR(Vertailu[[#This Row],[Suoritusrahoituksen muutos, €]]/Vertailu[[#This Row],[Suoritusrahoitus 2020, €]],0)</f>
        <v>-5.5244253401758064E-2</v>
      </c>
      <c r="AF18" s="18">
        <f>IFERROR(VLOOKUP(Vertailu[[#This Row],[Y-tunnus]],'Suoritepäätös 2020'!$Q:$AC,COLUMN('Suoritepäätös 2020'!K:K),FALSE),0)</f>
        <v>2833998</v>
      </c>
      <c r="AG18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2903578</v>
      </c>
      <c r="AH18" s="18">
        <f>Vertailu[[#This Row],[Vaikuttavuusrahoitus 2021, €]]-Vertailu[[#This Row],[Vaikuttavuusrahoitus 2020, €]]</f>
        <v>69580</v>
      </c>
      <c r="AI18" s="43">
        <f>IFERROR(Vertailu[[#This Row],[Vaikuttavuusrahoituksen muutos, €]]/Vertailu[[#This Row],[Vaikuttavuusrahoitus 2020, €]],0)</f>
        <v>2.455188747486766E-2</v>
      </c>
    </row>
    <row r="19" spans="1:35" ht="12.75" customHeight="1" x14ac:dyDescent="0.25">
      <c r="A19" s="98" t="s">
        <v>374</v>
      </c>
      <c r="B19" s="236" t="s">
        <v>28</v>
      </c>
      <c r="C19" s="142" t="s">
        <v>265</v>
      </c>
      <c r="D19" s="170" t="s">
        <v>392</v>
      </c>
      <c r="E19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0.64697610558717367</v>
      </c>
      <c r="F19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0.64697610558717367</v>
      </c>
      <c r="G19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0.20868303917443587</v>
      </c>
      <c r="H19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0.14434085523839049</v>
      </c>
      <c r="I19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0.13022713348244275</v>
      </c>
      <c r="J19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8.8100036170102834E-3</v>
      </c>
      <c r="K19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5.3037181389374846E-3</v>
      </c>
      <c r="L19" s="18">
        <f>IFERROR(VLOOKUP(Vertailu[[#This Row],[Y-tunnus]],'Suoritepäätös 2020'!$Q:$AC,COLUMN('Suoritepäätös 2020'!L:L),FALSE)-VLOOKUP(Vertailu[[#This Row],[Y-tunnus]],'Suoritepäätös 2020'!$B:$N,COLUMN('Suoritepäätös 2020'!F:F),FALSE),0)</f>
        <v>278374</v>
      </c>
      <c r="M19" s="18">
        <f>IFERROR(VLOOKUP(Vertailu[[#This Row],[Y-tunnus]],'1.2 Ohjaus-laskentataulu'!A:AY,COLUMN('1.2 Ohjaus-laskentataulu'!Z:Z),FALSE),0)</f>
        <v>270942</v>
      </c>
      <c r="N19" s="18">
        <f>IFERROR(Vertailu[[#This Row],[Rahoitus pl. hark. kor. 2021 ilman alv, €]]-Vertailu[[#This Row],[Rahoitus pl. hark. kor. 2020 ilman alv, €]],0)</f>
        <v>-7432</v>
      </c>
      <c r="O19" s="43">
        <f>IFERROR(Vertailu[[#This Row],[Muutos, € 1]]/Vertailu[[#This Row],[Rahoitus pl. hark. kor. 2020 ilman alv, €]],0)</f>
        <v>-2.669789563680516E-2</v>
      </c>
      <c r="P19" s="135">
        <f>IFERROR(VLOOKUP(Vertailu[[#This Row],[Y-tunnus]],'Suoritepäätös 2020'!$Q:$AC,COLUMN('Suoritepäätös 2020'!L:L),FALSE),0)</f>
        <v>278374</v>
      </c>
      <c r="Q19" s="138">
        <f>IFERROR(VLOOKUP(Vertailu[[#This Row],[Y-tunnus]],'1.2 Ohjaus-laskentataulu'!A:AY,COLUMN('1.2 Ohjaus-laskentataulu'!AV:AV),FALSE),0)</f>
        <v>270942</v>
      </c>
      <c r="R19" s="18">
        <f>IFERROR(Vertailu[[#This Row],[Rahoitus ml. hark. kor. 
2021 ilman alv, €]]-Vertailu[[#This Row],[Rahoitus ml. hark. kor. 
2020 ilman alv, €]],0)</f>
        <v>-7432</v>
      </c>
      <c r="S19" s="16">
        <f>IFERROR(Vertailu[[#This Row],[Muutos, € 2]]/Vertailu[[#This Row],[Rahoitus ml. hark. kor. 
2020 ilman alv, €]],0)</f>
        <v>-2.669789563680516E-2</v>
      </c>
      <c r="T19" s="138">
        <f>IFERROR(VLOOKUP(Vertailu[[#This Row],[Y-tunnus]],'Suoritepäätös 2020'!$Q:$AC,COLUMN('Suoritepäätös 2020'!L:L),FALSE)+VLOOKUP(Vertailu[[#This Row],[Y-tunnus]],'Suoritepäätös 2020'!$Q:$AC,COLUMN('Suoritepäätös 2020'!M:M),FALSE),0)</f>
        <v>286244</v>
      </c>
      <c r="U19" s="135">
        <f>IFERROR(VLOOKUP(Vertailu[[#This Row],[Y-tunnus]],'1.2 Ohjaus-laskentataulu'!A:AY,COLUMN('1.2 Ohjaus-laskentataulu'!AX:AX),FALSE),0)</f>
        <v>270942</v>
      </c>
      <c r="V19" s="141">
        <f>IFERROR(Vertailu[[#This Row],[Rahoitus ml. hark. kor. + alv 2021, €]]-Vertailu[[#This Row],[Rahoitus ml. hark. kor. + alv 2020, €]],0)</f>
        <v>-15302</v>
      </c>
      <c r="W19" s="43">
        <f>IFERROR(Vertailu[[#This Row],[Muutos, € 3]]/Vertailu[[#This Row],[Rahoitus ml. hark. kor. + alv 2020, €]],0)</f>
        <v>-5.3457889073657436E-2</v>
      </c>
      <c r="X19" s="18">
        <f>IFERROR(VLOOKUP(Vertailu[[#This Row],[Y-tunnus]],'Suoritepäätös 2020'!$B:$N,COLUMN('Suoritepäätös 2020'!G:G),FALSE),0)</f>
        <v>182957</v>
      </c>
      <c r="Y19" s="18">
        <f>IFERROR(VLOOKUP(Vertailu[[#This Row],[Y-tunnus]],'1.2 Ohjaus-laskentataulu'!A:AY,COLUMN('1.2 Ohjaus-laskentataulu'!AS:AS),FALSE),0)</f>
        <v>175293</v>
      </c>
      <c r="Z19" s="18">
        <f>Vertailu[[#This Row],[Perusrahoitus 2021, €]]-Vertailu[[#This Row],[Perusrahoitus 2020, €]]</f>
        <v>-7664</v>
      </c>
      <c r="AA19" s="43">
        <f>IFERROR(Vertailu[[#This Row],[Perusrahoituksen muutos, €]]/Vertailu[[#This Row],[Perusrahoitus 2020, €]],0)</f>
        <v>-4.1889624337959196E-2</v>
      </c>
      <c r="AB19" s="18">
        <f>IFERROR(VLOOKUP(Vertailu[[#This Row],[Y-tunnus]],'Suoritepäätös 2020'!$B:$N,COLUMN('Suoritepäätös 2020'!M:M),FALSE),0)</f>
        <v>25110</v>
      </c>
      <c r="AC19" s="18">
        <f>IFERROR(VLOOKUP(Vertailu[[#This Row],[Y-tunnus]],'1.2 Ohjaus-laskentataulu'!A:AY,COLUMN('1.2 Ohjaus-laskentataulu'!O:O),FALSE),0)</f>
        <v>56541</v>
      </c>
      <c r="AD19" s="18">
        <f>Vertailu[[#This Row],[Suoritusrahoitus 2021, €]]-Vertailu[[#This Row],[Suoritusrahoitus 2020, €]]</f>
        <v>31431</v>
      </c>
      <c r="AE19" s="43">
        <f>IFERROR(Vertailu[[#This Row],[Suoritusrahoituksen muutos, €]]/Vertailu[[#This Row],[Suoritusrahoitus 2020, €]],0)</f>
        <v>1.2517323775388292</v>
      </c>
      <c r="AF19" s="18">
        <f>IFERROR(VLOOKUP(Vertailu[[#This Row],[Y-tunnus]],'Suoritepäätös 2020'!$Q:$AC,COLUMN('Suoritepäätös 2020'!K:K),FALSE),0)</f>
        <v>70307</v>
      </c>
      <c r="AG19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39108</v>
      </c>
      <c r="AH19" s="18">
        <f>Vertailu[[#This Row],[Vaikuttavuusrahoitus 2021, €]]-Vertailu[[#This Row],[Vaikuttavuusrahoitus 2020, €]]</f>
        <v>-31199</v>
      </c>
      <c r="AI19" s="43">
        <f>IFERROR(Vertailu[[#This Row],[Vaikuttavuusrahoituksen muutos, €]]/Vertailu[[#This Row],[Vaikuttavuusrahoitus 2020, €]],0)</f>
        <v>-0.4437538225212283</v>
      </c>
    </row>
    <row r="20" spans="1:35" ht="12.75" customHeight="1" x14ac:dyDescent="0.25">
      <c r="A20" s="98" t="s">
        <v>373</v>
      </c>
      <c r="B20" s="236" t="s">
        <v>173</v>
      </c>
      <c r="C20" s="142" t="s">
        <v>216</v>
      </c>
      <c r="D20" s="170" t="s">
        <v>392</v>
      </c>
      <c r="E20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0.26856352525783134</v>
      </c>
      <c r="F20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1</v>
      </c>
      <c r="G20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</v>
      </c>
      <c r="H20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</v>
      </c>
      <c r="I20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</v>
      </c>
      <c r="J20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0</v>
      </c>
      <c r="K20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0</v>
      </c>
      <c r="L20" s="18">
        <f>IFERROR(VLOOKUP(Vertailu[[#This Row],[Y-tunnus]],'Suoritepäätös 2020'!$Q:$AC,COLUMN('Suoritepäätös 2020'!L:L),FALSE)-VLOOKUP(Vertailu[[#This Row],[Y-tunnus]],'Suoritepäätös 2020'!$B:$N,COLUMN('Suoritepäätös 2020'!F:F),FALSE),0)</f>
        <v>185318</v>
      </c>
      <c r="M20" s="18">
        <f>IFERROR(VLOOKUP(Vertailu[[#This Row],[Y-tunnus]],'1.2 Ohjaus-laskentataulu'!A:AY,COLUMN('1.2 Ohjaus-laskentataulu'!Z:Z),FALSE),0)</f>
        <v>121167</v>
      </c>
      <c r="N20" s="18">
        <f>IFERROR(Vertailu[[#This Row],[Rahoitus pl. hark. kor. 2021 ilman alv, €]]-Vertailu[[#This Row],[Rahoitus pl. hark. kor. 2020 ilman alv, €]],0)</f>
        <v>-64151</v>
      </c>
      <c r="O20" s="43">
        <f>IFERROR(Vertailu[[#This Row],[Muutos, € 1]]/Vertailu[[#This Row],[Rahoitus pl. hark. kor. 2020 ilman alv, €]],0)</f>
        <v>-0.34616712893512774</v>
      </c>
      <c r="P20" s="135">
        <f>IFERROR(VLOOKUP(Vertailu[[#This Row],[Y-tunnus]],'Suoritepäätös 2020'!$Q:$AC,COLUMN('Suoritepäätös 2020'!L:L),FALSE),0)</f>
        <v>845318</v>
      </c>
      <c r="Q20" s="138">
        <f>IFERROR(VLOOKUP(Vertailu[[#This Row],[Y-tunnus]],'1.2 Ohjaus-laskentataulu'!A:AY,COLUMN('1.2 Ohjaus-laskentataulu'!AV:AV),FALSE),0)</f>
        <v>451167</v>
      </c>
      <c r="R20" s="18">
        <f>IFERROR(Vertailu[[#This Row],[Rahoitus ml. hark. kor. 
2021 ilman alv, €]]-Vertailu[[#This Row],[Rahoitus ml. hark. kor. 
2020 ilman alv, €]],0)</f>
        <v>-394151</v>
      </c>
      <c r="S20" s="16">
        <f>IFERROR(Vertailu[[#This Row],[Muutos, € 2]]/Vertailu[[#This Row],[Rahoitus ml. hark. kor. 
2020 ilman alv, €]],0)</f>
        <v>-0.46627541351302115</v>
      </c>
      <c r="T20" s="138">
        <f>IFERROR(VLOOKUP(Vertailu[[#This Row],[Y-tunnus]],'Suoritepäätös 2020'!$Q:$AC,COLUMN('Suoritepäätös 2020'!L:L),FALSE)+VLOOKUP(Vertailu[[#This Row],[Y-tunnus]],'Suoritepäätös 2020'!$Q:$AC,COLUMN('Suoritepäätös 2020'!M:M),FALSE),0)</f>
        <v>1034179</v>
      </c>
      <c r="U20" s="135">
        <f>IFERROR(VLOOKUP(Vertailu[[#This Row],[Y-tunnus]],'1.2 Ohjaus-laskentataulu'!A:AY,COLUMN('1.2 Ohjaus-laskentataulu'!AX:AX),FALSE),0)</f>
        <v>616215</v>
      </c>
      <c r="V20" s="141">
        <f>IFERROR(Vertailu[[#This Row],[Rahoitus ml. hark. kor. + alv 2021, €]]-Vertailu[[#This Row],[Rahoitus ml. hark. kor. + alv 2020, €]],0)</f>
        <v>-417964</v>
      </c>
      <c r="W20" s="43">
        <f>IFERROR(Vertailu[[#This Row],[Muutos, € 3]]/Vertailu[[#This Row],[Rahoitus ml. hark. kor. + alv 2020, €]],0)</f>
        <v>-0.40415053873652435</v>
      </c>
      <c r="X20" s="18">
        <f>IFERROR(VLOOKUP(Vertailu[[#This Row],[Y-tunnus]],'Suoritepäätös 2020'!$B:$N,COLUMN('Suoritepäätös 2020'!G:G),FALSE),0)</f>
        <v>845318</v>
      </c>
      <c r="Y20" s="18">
        <f>IFERROR(VLOOKUP(Vertailu[[#This Row],[Y-tunnus]],'1.2 Ohjaus-laskentataulu'!A:AY,COLUMN('1.2 Ohjaus-laskentataulu'!AS:AS),FALSE),0)</f>
        <v>451167</v>
      </c>
      <c r="Z20" s="18">
        <f>Vertailu[[#This Row],[Perusrahoitus 2021, €]]-Vertailu[[#This Row],[Perusrahoitus 2020, €]]</f>
        <v>-394151</v>
      </c>
      <c r="AA20" s="43">
        <f>IFERROR(Vertailu[[#This Row],[Perusrahoituksen muutos, €]]/Vertailu[[#This Row],[Perusrahoitus 2020, €]],0)</f>
        <v>-0.46627541351302115</v>
      </c>
      <c r="AB20" s="18">
        <f>IFERROR(VLOOKUP(Vertailu[[#This Row],[Y-tunnus]],'Suoritepäätös 2020'!$B:$N,COLUMN('Suoritepäätös 2020'!M:M),FALSE),0)</f>
        <v>0</v>
      </c>
      <c r="AC20" s="18">
        <f>IFERROR(VLOOKUP(Vertailu[[#This Row],[Y-tunnus]],'1.2 Ohjaus-laskentataulu'!A:AY,COLUMN('1.2 Ohjaus-laskentataulu'!O:O),FALSE),0)</f>
        <v>0</v>
      </c>
      <c r="AD20" s="18">
        <f>Vertailu[[#This Row],[Suoritusrahoitus 2021, €]]-Vertailu[[#This Row],[Suoritusrahoitus 2020, €]]</f>
        <v>0</v>
      </c>
      <c r="AE20" s="43">
        <f>IFERROR(Vertailu[[#This Row],[Suoritusrahoituksen muutos, €]]/Vertailu[[#This Row],[Suoritusrahoitus 2020, €]],0)</f>
        <v>0</v>
      </c>
      <c r="AF20" s="18">
        <f>IFERROR(VLOOKUP(Vertailu[[#This Row],[Y-tunnus]],'Suoritepäätös 2020'!$Q:$AC,COLUMN('Suoritepäätös 2020'!K:K),FALSE),0)</f>
        <v>0</v>
      </c>
      <c r="AG20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0</v>
      </c>
      <c r="AH20" s="18">
        <f>Vertailu[[#This Row],[Vaikuttavuusrahoitus 2021, €]]-Vertailu[[#This Row],[Vaikuttavuusrahoitus 2020, €]]</f>
        <v>0</v>
      </c>
      <c r="AI20" s="43">
        <f>IFERROR(Vertailu[[#This Row],[Vaikuttavuusrahoituksen muutos, €]]/Vertailu[[#This Row],[Vaikuttavuusrahoitus 2020, €]],0)</f>
        <v>0</v>
      </c>
    </row>
    <row r="21" spans="1:35" ht="12.75" customHeight="1" x14ac:dyDescent="0.25">
      <c r="A21" s="98" t="s">
        <v>372</v>
      </c>
      <c r="B21" s="236" t="s">
        <v>29</v>
      </c>
      <c r="C21" s="142" t="s">
        <v>216</v>
      </c>
      <c r="D21" s="170" t="s">
        <v>392</v>
      </c>
      <c r="E21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0.68741239914462604</v>
      </c>
      <c r="F21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0.69626842496171248</v>
      </c>
      <c r="G21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0.21661839148593487</v>
      </c>
      <c r="H21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8.7113183552352688E-2</v>
      </c>
      <c r="I21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6.7233767199878142E-2</v>
      </c>
      <c r="J21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4.7450586327949266E-3</v>
      </c>
      <c r="K21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1.5134357719679624E-2</v>
      </c>
      <c r="L21" s="18">
        <f>IFERROR(VLOOKUP(Vertailu[[#This Row],[Y-tunnus]],'Suoritepäätös 2020'!$Q:$AC,COLUMN('Suoritepäätös 2020'!L:L),FALSE)-VLOOKUP(Vertailu[[#This Row],[Y-tunnus]],'Suoritepäätös 2020'!$B:$N,COLUMN('Suoritepäätös 2020'!F:F),FALSE),0)</f>
        <v>1680341</v>
      </c>
      <c r="M21" s="18">
        <f>IFERROR(VLOOKUP(Vertailu[[#This Row],[Y-tunnus]],'1.2 Ohjaus-laskentataulu'!A:AY,COLUMN('1.2 Ohjaus-laskentataulu'!Z:Z),FALSE),0)</f>
        <v>1678762</v>
      </c>
      <c r="N21" s="18">
        <f>IFERROR(Vertailu[[#This Row],[Rahoitus pl. hark. kor. 2021 ilman alv, €]]-Vertailu[[#This Row],[Rahoitus pl. hark. kor. 2020 ilman alv, €]],0)</f>
        <v>-1579</v>
      </c>
      <c r="O21" s="43">
        <f>IFERROR(Vertailu[[#This Row],[Muutos, € 1]]/Vertailu[[#This Row],[Rahoitus pl. hark. kor. 2020 ilman alv, €]],0)</f>
        <v>-9.3969021764034799E-4</v>
      </c>
      <c r="P21" s="135">
        <f>IFERROR(VLOOKUP(Vertailu[[#This Row],[Y-tunnus]],'Suoritepäätös 2020'!$Q:$AC,COLUMN('Suoritepäätös 2020'!L:L),FALSE),0)</f>
        <v>1680341</v>
      </c>
      <c r="Q21" s="138">
        <f>IFERROR(VLOOKUP(Vertailu[[#This Row],[Y-tunnus]],'1.2 Ohjaus-laskentataulu'!A:AY,COLUMN('1.2 Ohjaus-laskentataulu'!AV:AV),FALSE),0)</f>
        <v>1693762</v>
      </c>
      <c r="R21" s="18">
        <f>IFERROR(Vertailu[[#This Row],[Rahoitus ml. hark. kor. 
2021 ilman alv, €]]-Vertailu[[#This Row],[Rahoitus ml. hark. kor. 
2020 ilman alv, €]],0)</f>
        <v>13421</v>
      </c>
      <c r="S21" s="16">
        <f>IFERROR(Vertailu[[#This Row],[Muutos, € 2]]/Vertailu[[#This Row],[Rahoitus ml. hark. kor. 
2020 ilman alv, €]],0)</f>
        <v>7.9870692912926596E-3</v>
      </c>
      <c r="T21" s="138">
        <f>IFERROR(VLOOKUP(Vertailu[[#This Row],[Y-tunnus]],'Suoritepäätös 2020'!$Q:$AC,COLUMN('Suoritepäätös 2020'!L:L),FALSE)+VLOOKUP(Vertailu[[#This Row],[Y-tunnus]],'Suoritepäätös 2020'!$Q:$AC,COLUMN('Suoritepäätös 2020'!M:M),FALSE),0)</f>
        <v>1783358</v>
      </c>
      <c r="U21" s="135">
        <f>IFERROR(VLOOKUP(Vertailu[[#This Row],[Y-tunnus]],'1.2 Ohjaus-laskentataulu'!A:AY,COLUMN('1.2 Ohjaus-laskentataulu'!AX:AX),FALSE),0)</f>
        <v>1787100</v>
      </c>
      <c r="V21" s="141">
        <f>IFERROR(Vertailu[[#This Row],[Rahoitus ml. hark. kor. + alv 2021, €]]-Vertailu[[#This Row],[Rahoitus ml. hark. kor. + alv 2020, €]],0)</f>
        <v>3742</v>
      </c>
      <c r="W21" s="43">
        <f>IFERROR(Vertailu[[#This Row],[Muutos, € 3]]/Vertailu[[#This Row],[Rahoitus ml. hark. kor. + alv 2020, €]],0)</f>
        <v>2.098288733950222E-3</v>
      </c>
      <c r="X21" s="18">
        <f>IFERROR(VLOOKUP(Vertailu[[#This Row],[Y-tunnus]],'Suoritepäätös 2020'!$B:$N,COLUMN('Suoritepäätös 2020'!G:G),FALSE),0)</f>
        <v>1203976</v>
      </c>
      <c r="Y21" s="18">
        <f>IFERROR(VLOOKUP(Vertailu[[#This Row],[Y-tunnus]],'1.2 Ohjaus-laskentataulu'!A:AY,COLUMN('1.2 Ohjaus-laskentataulu'!AS:AS),FALSE),0)</f>
        <v>1179313</v>
      </c>
      <c r="Z21" s="18">
        <f>Vertailu[[#This Row],[Perusrahoitus 2021, €]]-Vertailu[[#This Row],[Perusrahoitus 2020, €]]</f>
        <v>-24663</v>
      </c>
      <c r="AA21" s="43">
        <f>IFERROR(Vertailu[[#This Row],[Perusrahoituksen muutos, €]]/Vertailu[[#This Row],[Perusrahoitus 2020, €]],0)</f>
        <v>-2.0484627600550177E-2</v>
      </c>
      <c r="AB21" s="18">
        <f>IFERROR(VLOOKUP(Vertailu[[#This Row],[Y-tunnus]],'Suoritepäätös 2020'!$B:$N,COLUMN('Suoritepäätös 2020'!M:M),FALSE),0)</f>
        <v>353358</v>
      </c>
      <c r="AC21" s="18">
        <f>IFERROR(VLOOKUP(Vertailu[[#This Row],[Y-tunnus]],'1.2 Ohjaus-laskentataulu'!A:AY,COLUMN('1.2 Ohjaus-laskentataulu'!O:O),FALSE),0)</f>
        <v>366900</v>
      </c>
      <c r="AD21" s="18">
        <f>Vertailu[[#This Row],[Suoritusrahoitus 2021, €]]-Vertailu[[#This Row],[Suoritusrahoitus 2020, €]]</f>
        <v>13542</v>
      </c>
      <c r="AE21" s="43">
        <f>IFERROR(Vertailu[[#This Row],[Suoritusrahoituksen muutos, €]]/Vertailu[[#This Row],[Suoritusrahoitus 2020, €]],0)</f>
        <v>3.8323739663457458E-2</v>
      </c>
      <c r="AF21" s="18">
        <f>IFERROR(VLOOKUP(Vertailu[[#This Row],[Y-tunnus]],'Suoritepäätös 2020'!$Q:$AC,COLUMN('Suoritepäätös 2020'!K:K),FALSE),0)</f>
        <v>123007</v>
      </c>
      <c r="AG21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147549</v>
      </c>
      <c r="AH21" s="18">
        <f>Vertailu[[#This Row],[Vaikuttavuusrahoitus 2021, €]]-Vertailu[[#This Row],[Vaikuttavuusrahoitus 2020, €]]</f>
        <v>24542</v>
      </c>
      <c r="AI21" s="43">
        <f>IFERROR(Vertailu[[#This Row],[Vaikuttavuusrahoituksen muutos, €]]/Vertailu[[#This Row],[Vaikuttavuusrahoitus 2020, €]],0)</f>
        <v>0.19951710065280837</v>
      </c>
    </row>
    <row r="22" spans="1:35" ht="12.75" customHeight="1" x14ac:dyDescent="0.25">
      <c r="A22" s="98" t="s">
        <v>371</v>
      </c>
      <c r="B22" s="236" t="s">
        <v>459</v>
      </c>
      <c r="C22" s="142" t="s">
        <v>222</v>
      </c>
      <c r="D22" s="170" t="s">
        <v>392</v>
      </c>
      <c r="E22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0.59667191983467394</v>
      </c>
      <c r="F22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0.76393080685687098</v>
      </c>
      <c r="G22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0.14617311666493213</v>
      </c>
      <c r="H22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8.9896076478196876E-2</v>
      </c>
      <c r="I22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7.9972049181546517E-2</v>
      </c>
      <c r="J22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1.7320586967187524E-3</v>
      </c>
      <c r="K22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8.1919685999316105E-3</v>
      </c>
      <c r="L22" s="18">
        <f>IFERROR(VLOOKUP(Vertailu[[#This Row],[Y-tunnus]],'Suoritepäätös 2020'!$Q:$AC,COLUMN('Suoritepäätös 2020'!L:L),FALSE)-VLOOKUP(Vertailu[[#This Row],[Y-tunnus]],'Suoritepäätös 2020'!$B:$N,COLUMN('Suoritepäätös 2020'!F:F),FALSE),0)</f>
        <v>297799</v>
      </c>
      <c r="M22" s="18">
        <f>IFERROR(VLOOKUP(Vertailu[[#This Row],[Y-tunnus]],'1.2 Ohjaus-laskentataulu'!A:AY,COLUMN('1.2 Ohjaus-laskentataulu'!Z:Z),FALSE),0)</f>
        <v>224044</v>
      </c>
      <c r="N22" s="18">
        <f>IFERROR(Vertailu[[#This Row],[Rahoitus pl. hark. kor. 2021 ilman alv, €]]-Vertailu[[#This Row],[Rahoitus pl. hark. kor. 2020 ilman alv, €]],0)</f>
        <v>-73755</v>
      </c>
      <c r="O22" s="43">
        <f>IFERROR(Vertailu[[#This Row],[Muutos, € 1]]/Vertailu[[#This Row],[Rahoitus pl. hark. kor. 2020 ilman alv, €]],0)</f>
        <v>-0.24766705059452854</v>
      </c>
      <c r="P22" s="135">
        <f>IFERROR(VLOOKUP(Vertailu[[#This Row],[Y-tunnus]],'Suoritepäätös 2020'!$Q:$AC,COLUMN('Suoritepäätös 2020'!L:L),FALSE),0)</f>
        <v>297799</v>
      </c>
      <c r="Q22" s="138">
        <f>IFERROR(VLOOKUP(Vertailu[[#This Row],[Y-tunnus]],'1.2 Ohjaus-laskentataulu'!A:AY,COLUMN('1.2 Ohjaus-laskentataulu'!AV:AV),FALSE),0)</f>
        <v>269044</v>
      </c>
      <c r="R22" s="18">
        <f>IFERROR(Vertailu[[#This Row],[Rahoitus ml. hark. kor. 
2021 ilman alv, €]]-Vertailu[[#This Row],[Rahoitus ml. hark. kor. 
2020 ilman alv, €]],0)</f>
        <v>-28755</v>
      </c>
      <c r="S22" s="16">
        <f>IFERROR(Vertailu[[#This Row],[Muutos, € 2]]/Vertailu[[#This Row],[Rahoitus ml. hark. kor. 
2020 ilman alv, €]],0)</f>
        <v>-9.6558416918794215E-2</v>
      </c>
      <c r="T22" s="138">
        <f>IFERROR(VLOOKUP(Vertailu[[#This Row],[Y-tunnus]],'Suoritepäätös 2020'!$Q:$AC,COLUMN('Suoritepäätös 2020'!L:L),FALSE)+VLOOKUP(Vertailu[[#This Row],[Y-tunnus]],'Suoritepäätös 2020'!$Q:$AC,COLUMN('Suoritepäätös 2020'!M:M),FALSE),0)</f>
        <v>297799</v>
      </c>
      <c r="U22" s="135">
        <f>IFERROR(VLOOKUP(Vertailu[[#This Row],[Y-tunnus]],'1.2 Ohjaus-laskentataulu'!A:AY,COLUMN('1.2 Ohjaus-laskentataulu'!AX:AX),FALSE),0)</f>
        <v>269044</v>
      </c>
      <c r="V22" s="141">
        <f>IFERROR(Vertailu[[#This Row],[Rahoitus ml. hark. kor. + alv 2021, €]]-Vertailu[[#This Row],[Rahoitus ml. hark. kor. + alv 2020, €]],0)</f>
        <v>-28755</v>
      </c>
      <c r="W22" s="43">
        <f>IFERROR(Vertailu[[#This Row],[Muutos, € 3]]/Vertailu[[#This Row],[Rahoitus ml. hark. kor. + alv 2020, €]],0)</f>
        <v>-9.6558416918794215E-2</v>
      </c>
      <c r="X22" s="18">
        <f>IFERROR(VLOOKUP(Vertailu[[#This Row],[Y-tunnus]],'Suoritepäätös 2020'!$B:$N,COLUMN('Suoritepäätös 2020'!G:G),FALSE),0)</f>
        <v>213057</v>
      </c>
      <c r="Y22" s="18">
        <f>IFERROR(VLOOKUP(Vertailu[[#This Row],[Y-tunnus]],'1.2 Ohjaus-laskentataulu'!A:AY,COLUMN('1.2 Ohjaus-laskentataulu'!AS:AS),FALSE),0)</f>
        <v>205531</v>
      </c>
      <c r="Z22" s="18">
        <f>Vertailu[[#This Row],[Perusrahoitus 2021, €]]-Vertailu[[#This Row],[Perusrahoitus 2020, €]]</f>
        <v>-7526</v>
      </c>
      <c r="AA22" s="43">
        <f>IFERROR(Vertailu[[#This Row],[Perusrahoituksen muutos, €]]/Vertailu[[#This Row],[Perusrahoitus 2020, €]],0)</f>
        <v>-3.532388046391341E-2</v>
      </c>
      <c r="AB22" s="18">
        <f>IFERROR(VLOOKUP(Vertailu[[#This Row],[Y-tunnus]],'Suoritepäätös 2020'!$B:$N,COLUMN('Suoritepäätös 2020'!M:M),FALSE),0)</f>
        <v>50403</v>
      </c>
      <c r="AC22" s="18">
        <f>IFERROR(VLOOKUP(Vertailu[[#This Row],[Y-tunnus]],'1.2 Ohjaus-laskentataulu'!A:AY,COLUMN('1.2 Ohjaus-laskentataulu'!O:O),FALSE),0)</f>
        <v>39327</v>
      </c>
      <c r="AD22" s="18">
        <f>Vertailu[[#This Row],[Suoritusrahoitus 2021, €]]-Vertailu[[#This Row],[Suoritusrahoitus 2020, €]]</f>
        <v>-11076</v>
      </c>
      <c r="AE22" s="43">
        <f>IFERROR(Vertailu[[#This Row],[Suoritusrahoituksen muutos, €]]/Vertailu[[#This Row],[Suoritusrahoitus 2020, €]],0)</f>
        <v>-0.21974882447473365</v>
      </c>
      <c r="AF22" s="18">
        <f>IFERROR(VLOOKUP(Vertailu[[#This Row],[Y-tunnus]],'Suoritepäätös 2020'!$Q:$AC,COLUMN('Suoritepäätös 2020'!K:K),FALSE),0)</f>
        <v>34339</v>
      </c>
      <c r="AG22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24186</v>
      </c>
      <c r="AH22" s="18">
        <f>Vertailu[[#This Row],[Vaikuttavuusrahoitus 2021, €]]-Vertailu[[#This Row],[Vaikuttavuusrahoitus 2020, €]]</f>
        <v>-10153</v>
      </c>
      <c r="AI22" s="43">
        <f>IFERROR(Vertailu[[#This Row],[Vaikuttavuusrahoituksen muutos, €]]/Vertailu[[#This Row],[Vaikuttavuusrahoitus 2020, €]],0)</f>
        <v>-0.29566964675733132</v>
      </c>
    </row>
    <row r="23" spans="1:35" ht="12.75" customHeight="1" x14ac:dyDescent="0.25">
      <c r="A23" s="98" t="s">
        <v>370</v>
      </c>
      <c r="B23" s="236" t="s">
        <v>146</v>
      </c>
      <c r="C23" s="142" t="s">
        <v>227</v>
      </c>
      <c r="D23" s="170" t="s">
        <v>392</v>
      </c>
      <c r="E23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0.2708039731086998</v>
      </c>
      <c r="F23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0.2708039731086998</v>
      </c>
      <c r="G23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0.20977735463513669</v>
      </c>
      <c r="H23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0.51941867225616356</v>
      </c>
      <c r="I23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0.43504561849802342</v>
      </c>
      <c r="J23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1.3601819847856805E-2</v>
      </c>
      <c r="K23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7.077123391028331E-2</v>
      </c>
      <c r="L23" s="18">
        <f>IFERROR(VLOOKUP(Vertailu[[#This Row],[Y-tunnus]],'Suoritepäätös 2020'!$Q:$AC,COLUMN('Suoritepäätös 2020'!L:L),FALSE)-VLOOKUP(Vertailu[[#This Row],[Y-tunnus]],'Suoritepäätös 2020'!$B:$N,COLUMN('Suoritepäätös 2020'!F:F),FALSE),0)</f>
        <v>299324</v>
      </c>
      <c r="M23" s="18">
        <f>IFERROR(VLOOKUP(Vertailu[[#This Row],[Y-tunnus]],'1.2 Ohjaus-laskentataulu'!A:AY,COLUMN('1.2 Ohjaus-laskentataulu'!Z:Z),FALSE),0)</f>
        <v>531473</v>
      </c>
      <c r="N23" s="18">
        <f>IFERROR(Vertailu[[#This Row],[Rahoitus pl. hark. kor. 2021 ilman alv, €]]-Vertailu[[#This Row],[Rahoitus pl. hark. kor. 2020 ilman alv, €]],0)</f>
        <v>232149</v>
      </c>
      <c r="O23" s="43">
        <f>IFERROR(Vertailu[[#This Row],[Muutos, € 1]]/Vertailu[[#This Row],[Rahoitus pl. hark. kor. 2020 ilman alv, €]],0)</f>
        <v>0.77557763493739229</v>
      </c>
      <c r="P23" s="135">
        <f>IFERROR(VLOOKUP(Vertailu[[#This Row],[Y-tunnus]],'Suoritepäätös 2020'!$Q:$AC,COLUMN('Suoritepäätös 2020'!L:L),FALSE),0)</f>
        <v>299324</v>
      </c>
      <c r="Q23" s="138">
        <f>IFERROR(VLOOKUP(Vertailu[[#This Row],[Y-tunnus]],'1.2 Ohjaus-laskentataulu'!A:AY,COLUMN('1.2 Ohjaus-laskentataulu'!AV:AV),FALSE),0)</f>
        <v>531473</v>
      </c>
      <c r="R23" s="18">
        <f>IFERROR(Vertailu[[#This Row],[Rahoitus ml. hark. kor. 
2021 ilman alv, €]]-Vertailu[[#This Row],[Rahoitus ml. hark. kor. 
2020 ilman alv, €]],0)</f>
        <v>232149</v>
      </c>
      <c r="S23" s="16">
        <f>IFERROR(Vertailu[[#This Row],[Muutos, € 2]]/Vertailu[[#This Row],[Rahoitus ml. hark. kor. 
2020 ilman alv, €]],0)</f>
        <v>0.77557763493739229</v>
      </c>
      <c r="T23" s="138">
        <f>IFERROR(VLOOKUP(Vertailu[[#This Row],[Y-tunnus]],'Suoritepäätös 2020'!$Q:$AC,COLUMN('Suoritepäätös 2020'!L:L),FALSE)+VLOOKUP(Vertailu[[#This Row],[Y-tunnus]],'Suoritepäätös 2020'!$Q:$AC,COLUMN('Suoritepäätös 2020'!M:M),FALSE),0)</f>
        <v>299324</v>
      </c>
      <c r="U23" s="135">
        <f>IFERROR(VLOOKUP(Vertailu[[#This Row],[Y-tunnus]],'1.2 Ohjaus-laskentataulu'!A:AY,COLUMN('1.2 Ohjaus-laskentataulu'!AX:AX),FALSE),0)</f>
        <v>541921</v>
      </c>
      <c r="V23" s="141">
        <f>IFERROR(Vertailu[[#This Row],[Rahoitus ml. hark. kor. + alv 2021, €]]-Vertailu[[#This Row],[Rahoitus ml. hark. kor. + alv 2020, €]],0)</f>
        <v>242597</v>
      </c>
      <c r="W23" s="43">
        <f>IFERROR(Vertailu[[#This Row],[Muutos, € 3]]/Vertailu[[#This Row],[Rahoitus ml. hark. kor. + alv 2020, €]],0)</f>
        <v>0.81048295492509792</v>
      </c>
      <c r="X23" s="18">
        <f>IFERROR(VLOOKUP(Vertailu[[#This Row],[Y-tunnus]],'Suoritepäätös 2020'!$B:$N,COLUMN('Suoritepäätös 2020'!G:G),FALSE),0)</f>
        <v>130431</v>
      </c>
      <c r="Y23" s="18">
        <f>IFERROR(VLOOKUP(Vertailu[[#This Row],[Y-tunnus]],'1.2 Ohjaus-laskentataulu'!A:AY,COLUMN('1.2 Ohjaus-laskentataulu'!AS:AS),FALSE),0)</f>
        <v>143925</v>
      </c>
      <c r="Z23" s="18">
        <f>Vertailu[[#This Row],[Perusrahoitus 2021, €]]-Vertailu[[#This Row],[Perusrahoitus 2020, €]]</f>
        <v>13494</v>
      </c>
      <c r="AA23" s="43">
        <f>IFERROR(Vertailu[[#This Row],[Perusrahoituksen muutos, €]]/Vertailu[[#This Row],[Perusrahoitus 2020, €]],0)</f>
        <v>0.10345700025300733</v>
      </c>
      <c r="AB23" s="18">
        <f>IFERROR(VLOOKUP(Vertailu[[#This Row],[Y-tunnus]],'Suoritepäätös 2020'!$B:$N,COLUMN('Suoritepäätös 2020'!M:M),FALSE),0)</f>
        <v>98288</v>
      </c>
      <c r="AC23" s="18">
        <f>IFERROR(VLOOKUP(Vertailu[[#This Row],[Y-tunnus]],'1.2 Ohjaus-laskentataulu'!A:AY,COLUMN('1.2 Ohjaus-laskentataulu'!O:O),FALSE),0)</f>
        <v>111491</v>
      </c>
      <c r="AD23" s="18">
        <f>Vertailu[[#This Row],[Suoritusrahoitus 2021, €]]-Vertailu[[#This Row],[Suoritusrahoitus 2020, €]]</f>
        <v>13203</v>
      </c>
      <c r="AE23" s="43">
        <f>IFERROR(Vertailu[[#This Row],[Suoritusrahoituksen muutos, €]]/Vertailu[[#This Row],[Suoritusrahoitus 2020, €]],0)</f>
        <v>0.13432972489011882</v>
      </c>
      <c r="AF23" s="18">
        <f>IFERROR(VLOOKUP(Vertailu[[#This Row],[Y-tunnus]],'Suoritepäätös 2020'!$Q:$AC,COLUMN('Suoritepäätös 2020'!K:K),FALSE),0)</f>
        <v>70605</v>
      </c>
      <c r="AG23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276057</v>
      </c>
      <c r="AH23" s="18">
        <f>Vertailu[[#This Row],[Vaikuttavuusrahoitus 2021, €]]-Vertailu[[#This Row],[Vaikuttavuusrahoitus 2020, €]]</f>
        <v>205452</v>
      </c>
      <c r="AI23" s="43">
        <f>IFERROR(Vertailu[[#This Row],[Vaikuttavuusrahoituksen muutos, €]]/Vertailu[[#This Row],[Vaikuttavuusrahoitus 2020, €]],0)</f>
        <v>2.9098789037603567</v>
      </c>
    </row>
    <row r="24" spans="1:35" ht="12.75" customHeight="1" x14ac:dyDescent="0.25">
      <c r="A24" s="98" t="s">
        <v>369</v>
      </c>
      <c r="B24" s="236" t="s">
        <v>30</v>
      </c>
      <c r="C24" s="142" t="s">
        <v>224</v>
      </c>
      <c r="D24" s="170" t="s">
        <v>392</v>
      </c>
      <c r="E24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0.64333645274011986</v>
      </c>
      <c r="F24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0.66068255164584122</v>
      </c>
      <c r="G24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0.22107342863858276</v>
      </c>
      <c r="H24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0.11824401971557602</v>
      </c>
      <c r="I24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7.7585631185510456E-2</v>
      </c>
      <c r="J24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7.491780117381051E-3</v>
      </c>
      <c r="K24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3.3166608412684505E-2</v>
      </c>
      <c r="L24" s="18">
        <f>IFERROR(VLOOKUP(Vertailu[[#This Row],[Y-tunnus]],'Suoritepäätös 2020'!$Q:$AC,COLUMN('Suoritepäätös 2020'!L:L),FALSE)-VLOOKUP(Vertailu[[#This Row],[Y-tunnus]],'Suoritepäätös 2020'!$B:$N,COLUMN('Suoritepäätös 2020'!F:F),FALSE),0)</f>
        <v>1127984</v>
      </c>
      <c r="M24" s="18">
        <f>IFERROR(VLOOKUP(Vertailu[[#This Row],[Y-tunnus]],'1.2 Ohjaus-laskentataulu'!A:AY,COLUMN('1.2 Ohjaus-laskentataulu'!Z:Z),FALSE),0)</f>
        <v>1132997</v>
      </c>
      <c r="N24" s="18">
        <f>IFERROR(Vertailu[[#This Row],[Rahoitus pl. hark. kor. 2021 ilman alv, €]]-Vertailu[[#This Row],[Rahoitus pl. hark. kor. 2020 ilman alv, €]],0)</f>
        <v>5013</v>
      </c>
      <c r="O24" s="43">
        <f>IFERROR(Vertailu[[#This Row],[Muutos, € 1]]/Vertailu[[#This Row],[Rahoitus pl. hark. kor. 2020 ilman alv, €]],0)</f>
        <v>4.4442119746379381E-3</v>
      </c>
      <c r="P24" s="135">
        <f>IFERROR(VLOOKUP(Vertailu[[#This Row],[Y-tunnus]],'Suoritepäätös 2020'!$Q:$AC,COLUMN('Suoritepäätös 2020'!L:L),FALSE),0)</f>
        <v>1127984</v>
      </c>
      <c r="Q24" s="138">
        <f>IFERROR(VLOOKUP(Vertailu[[#This Row],[Y-tunnus]],'1.2 Ohjaus-laskentataulu'!A:AY,COLUMN('1.2 Ohjaus-laskentataulu'!AV:AV),FALSE),0)</f>
        <v>1152997</v>
      </c>
      <c r="R24" s="18">
        <f>IFERROR(Vertailu[[#This Row],[Rahoitus ml. hark. kor. 
2021 ilman alv, €]]-Vertailu[[#This Row],[Rahoitus ml. hark. kor. 
2020 ilman alv, €]],0)</f>
        <v>25013</v>
      </c>
      <c r="S24" s="16">
        <f>IFERROR(Vertailu[[#This Row],[Muutos, € 2]]/Vertailu[[#This Row],[Rahoitus ml. hark. kor. 
2020 ilman alv, €]],0)</f>
        <v>2.2174959928509624E-2</v>
      </c>
      <c r="T24" s="138">
        <f>IFERROR(VLOOKUP(Vertailu[[#This Row],[Y-tunnus]],'Suoritepäätös 2020'!$Q:$AC,COLUMN('Suoritepäätös 2020'!L:L),FALSE)+VLOOKUP(Vertailu[[#This Row],[Y-tunnus]],'Suoritepäätös 2020'!$Q:$AC,COLUMN('Suoritepäätös 2020'!M:M),FALSE),0)</f>
        <v>1197666</v>
      </c>
      <c r="U24" s="135">
        <f>IFERROR(VLOOKUP(Vertailu[[#This Row],[Y-tunnus]],'1.2 Ohjaus-laskentataulu'!A:AY,COLUMN('1.2 Ohjaus-laskentataulu'!AX:AX),FALSE),0)</f>
        <v>1220421</v>
      </c>
      <c r="V24" s="141">
        <f>IFERROR(Vertailu[[#This Row],[Rahoitus ml. hark. kor. + alv 2021, €]]-Vertailu[[#This Row],[Rahoitus ml. hark. kor. + alv 2020, €]],0)</f>
        <v>22755</v>
      </c>
      <c r="W24" s="43">
        <f>IFERROR(Vertailu[[#This Row],[Muutos, € 3]]/Vertailu[[#This Row],[Rahoitus ml. hark. kor. + alv 2020, €]],0)</f>
        <v>1.8999453937909232E-2</v>
      </c>
      <c r="X24" s="18">
        <f>IFERROR(VLOOKUP(Vertailu[[#This Row],[Y-tunnus]],'Suoritepäätös 2020'!$B:$N,COLUMN('Suoritepäätös 2020'!G:G),FALSE),0)</f>
        <v>739501</v>
      </c>
      <c r="Y24" s="18">
        <f>IFERROR(VLOOKUP(Vertailu[[#This Row],[Y-tunnus]],'1.2 Ohjaus-laskentataulu'!A:AY,COLUMN('1.2 Ohjaus-laskentataulu'!AS:AS),FALSE),0)</f>
        <v>761765</v>
      </c>
      <c r="Z24" s="18">
        <f>Vertailu[[#This Row],[Perusrahoitus 2021, €]]-Vertailu[[#This Row],[Perusrahoitus 2020, €]]</f>
        <v>22264</v>
      </c>
      <c r="AA24" s="43">
        <f>IFERROR(Vertailu[[#This Row],[Perusrahoituksen muutos, €]]/Vertailu[[#This Row],[Perusrahoitus 2020, €]],0)</f>
        <v>3.0106788226114636E-2</v>
      </c>
      <c r="AB24" s="18">
        <f>IFERROR(VLOOKUP(Vertailu[[#This Row],[Y-tunnus]],'Suoritepäätös 2020'!$B:$N,COLUMN('Suoritepäätös 2020'!M:M),FALSE),0)</f>
        <v>220814</v>
      </c>
      <c r="AC24" s="18">
        <f>IFERROR(VLOOKUP(Vertailu[[#This Row],[Y-tunnus]],'1.2 Ohjaus-laskentataulu'!A:AY,COLUMN('1.2 Ohjaus-laskentataulu'!O:O),FALSE),0)</f>
        <v>254897</v>
      </c>
      <c r="AD24" s="18">
        <f>Vertailu[[#This Row],[Suoritusrahoitus 2021, €]]-Vertailu[[#This Row],[Suoritusrahoitus 2020, €]]</f>
        <v>34083</v>
      </c>
      <c r="AE24" s="43">
        <f>IFERROR(Vertailu[[#This Row],[Suoritusrahoituksen muutos, €]]/Vertailu[[#This Row],[Suoritusrahoitus 2020, €]],0)</f>
        <v>0.15435162625558163</v>
      </c>
      <c r="AF24" s="18">
        <f>IFERROR(VLOOKUP(Vertailu[[#This Row],[Y-tunnus]],'Suoritepäätös 2020'!$Q:$AC,COLUMN('Suoritepäätös 2020'!K:K),FALSE),0)</f>
        <v>167669</v>
      </c>
      <c r="AG24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136335</v>
      </c>
      <c r="AH24" s="18">
        <f>Vertailu[[#This Row],[Vaikuttavuusrahoitus 2021, €]]-Vertailu[[#This Row],[Vaikuttavuusrahoitus 2020, €]]</f>
        <v>-31334</v>
      </c>
      <c r="AI24" s="43">
        <f>IFERROR(Vertailu[[#This Row],[Vaikuttavuusrahoituksen muutos, €]]/Vertailu[[#This Row],[Vaikuttavuusrahoitus 2020, €]],0)</f>
        <v>-0.18688010306019598</v>
      </c>
    </row>
    <row r="25" spans="1:35" ht="12.75" customHeight="1" x14ac:dyDescent="0.25">
      <c r="A25" s="98" t="s">
        <v>368</v>
      </c>
      <c r="B25" s="236" t="s">
        <v>31</v>
      </c>
      <c r="C25" s="142" t="s">
        <v>234</v>
      </c>
      <c r="D25" s="170" t="s">
        <v>392</v>
      </c>
      <c r="E25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0.77122496825530573</v>
      </c>
      <c r="F25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0.77122496825530573</v>
      </c>
      <c r="G25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0.16883484037481652</v>
      </c>
      <c r="H25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5.9940191369877799E-2</v>
      </c>
      <c r="I25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4.3541229668983029E-2</v>
      </c>
      <c r="J25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4.8625924069943278E-3</v>
      </c>
      <c r="K25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1.1536369293900436E-2</v>
      </c>
      <c r="L25" s="18">
        <f>IFERROR(VLOOKUP(Vertailu[[#This Row],[Y-tunnus]],'Suoritepäätös 2020'!$Q:$AC,COLUMN('Suoritepäätös 2020'!L:L),FALSE)-VLOOKUP(Vertailu[[#This Row],[Y-tunnus]],'Suoritepäätös 2020'!$B:$N,COLUMN('Suoritepäätös 2020'!F:F),FALSE),0)</f>
        <v>2644220</v>
      </c>
      <c r="M25" s="18">
        <f>IFERROR(VLOOKUP(Vertailu[[#This Row],[Y-tunnus]],'1.2 Ohjaus-laskentataulu'!A:AY,COLUMN('1.2 Ohjaus-laskentataulu'!Z:Z),FALSE),0)</f>
        <v>2705964</v>
      </c>
      <c r="N25" s="18">
        <f>IFERROR(Vertailu[[#This Row],[Rahoitus pl. hark. kor. 2021 ilman alv, €]]-Vertailu[[#This Row],[Rahoitus pl. hark. kor. 2020 ilman alv, €]],0)</f>
        <v>61744</v>
      </c>
      <c r="O25" s="43">
        <f>IFERROR(Vertailu[[#This Row],[Muutos, € 1]]/Vertailu[[#This Row],[Rahoitus pl. hark. kor. 2020 ilman alv, €]],0)</f>
        <v>2.3350553282253366E-2</v>
      </c>
      <c r="P25" s="135">
        <f>IFERROR(VLOOKUP(Vertailu[[#This Row],[Y-tunnus]],'Suoritepäätös 2020'!$Q:$AC,COLUMN('Suoritepäätös 2020'!L:L),FALSE),0)</f>
        <v>2724220</v>
      </c>
      <c r="Q25" s="138">
        <f>IFERROR(VLOOKUP(Vertailu[[#This Row],[Y-tunnus]],'1.2 Ohjaus-laskentataulu'!A:AY,COLUMN('1.2 Ohjaus-laskentataulu'!AV:AV),FALSE),0)</f>
        <v>2705964</v>
      </c>
      <c r="R25" s="18">
        <f>IFERROR(Vertailu[[#This Row],[Rahoitus ml. hark. kor. 
2021 ilman alv, €]]-Vertailu[[#This Row],[Rahoitus ml. hark. kor. 
2020 ilman alv, €]],0)</f>
        <v>-18256</v>
      </c>
      <c r="S25" s="16">
        <f>IFERROR(Vertailu[[#This Row],[Muutos, € 2]]/Vertailu[[#This Row],[Rahoitus ml. hark. kor. 
2020 ilman alv, €]],0)</f>
        <v>-6.7013677309468401E-3</v>
      </c>
      <c r="T25" s="138">
        <f>IFERROR(VLOOKUP(Vertailu[[#This Row],[Y-tunnus]],'Suoritepäätös 2020'!$Q:$AC,COLUMN('Suoritepäätös 2020'!L:L),FALSE)+VLOOKUP(Vertailu[[#This Row],[Y-tunnus]],'Suoritepäätös 2020'!$Q:$AC,COLUMN('Suoritepäätös 2020'!M:M),FALSE),0)</f>
        <v>2941606</v>
      </c>
      <c r="U25" s="135">
        <f>IFERROR(VLOOKUP(Vertailu[[#This Row],[Y-tunnus]],'1.2 Ohjaus-laskentataulu'!A:AY,COLUMN('1.2 Ohjaus-laskentataulu'!AX:AX),FALSE),0)</f>
        <v>3170087</v>
      </c>
      <c r="V25" s="141">
        <f>IFERROR(Vertailu[[#This Row],[Rahoitus ml. hark. kor. + alv 2021, €]]-Vertailu[[#This Row],[Rahoitus ml. hark. kor. + alv 2020, €]],0)</f>
        <v>228481</v>
      </c>
      <c r="W25" s="43">
        <f>IFERROR(Vertailu[[#This Row],[Muutos, € 3]]/Vertailu[[#This Row],[Rahoitus ml. hark. kor. + alv 2020, €]],0)</f>
        <v>7.7672196752386277E-2</v>
      </c>
      <c r="X25" s="18">
        <f>IFERROR(VLOOKUP(Vertailu[[#This Row],[Y-tunnus]],'Suoritepäätös 2020'!$B:$N,COLUMN('Suoritepäätös 2020'!G:G),FALSE),0)</f>
        <v>2086627</v>
      </c>
      <c r="Y25" s="18">
        <f>IFERROR(VLOOKUP(Vertailu[[#This Row],[Y-tunnus]],'1.2 Ohjaus-laskentataulu'!A:AY,COLUMN('1.2 Ohjaus-laskentataulu'!AS:AS),FALSE),0)</f>
        <v>2086907</v>
      </c>
      <c r="Z25" s="18">
        <f>Vertailu[[#This Row],[Perusrahoitus 2021, €]]-Vertailu[[#This Row],[Perusrahoitus 2020, €]]</f>
        <v>280</v>
      </c>
      <c r="AA25" s="43">
        <f>IFERROR(Vertailu[[#This Row],[Perusrahoituksen muutos, €]]/Vertailu[[#This Row],[Perusrahoitus 2020, €]],0)</f>
        <v>1.341878543697556E-4</v>
      </c>
      <c r="AB25" s="18">
        <f>IFERROR(VLOOKUP(Vertailu[[#This Row],[Y-tunnus]],'Suoritepäätös 2020'!$B:$N,COLUMN('Suoritepäätös 2020'!M:M),FALSE),0)</f>
        <v>465314</v>
      </c>
      <c r="AC25" s="18">
        <f>IFERROR(VLOOKUP(Vertailu[[#This Row],[Y-tunnus]],'1.2 Ohjaus-laskentataulu'!A:AY,COLUMN('1.2 Ohjaus-laskentataulu'!O:O),FALSE),0)</f>
        <v>456861</v>
      </c>
      <c r="AD25" s="18">
        <f>Vertailu[[#This Row],[Suoritusrahoitus 2021, €]]-Vertailu[[#This Row],[Suoritusrahoitus 2020, €]]</f>
        <v>-8453</v>
      </c>
      <c r="AE25" s="43">
        <f>IFERROR(Vertailu[[#This Row],[Suoritusrahoituksen muutos, €]]/Vertailu[[#This Row],[Suoritusrahoitus 2020, €]],0)</f>
        <v>-1.816622753667416E-2</v>
      </c>
      <c r="AF25" s="18">
        <f>IFERROR(VLOOKUP(Vertailu[[#This Row],[Y-tunnus]],'Suoritepäätös 2020'!$Q:$AC,COLUMN('Suoritepäätös 2020'!K:K),FALSE),0)</f>
        <v>172279</v>
      </c>
      <c r="AG25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162196</v>
      </c>
      <c r="AH25" s="18">
        <f>Vertailu[[#This Row],[Vaikuttavuusrahoitus 2021, €]]-Vertailu[[#This Row],[Vaikuttavuusrahoitus 2020, €]]</f>
        <v>-10083</v>
      </c>
      <c r="AI25" s="43">
        <f>IFERROR(Vertailu[[#This Row],[Vaikuttavuusrahoituksen muutos, €]]/Vertailu[[#This Row],[Vaikuttavuusrahoitus 2020, €]],0)</f>
        <v>-5.852715653097592E-2</v>
      </c>
    </row>
    <row r="26" spans="1:35" ht="12.75" customHeight="1" x14ac:dyDescent="0.25">
      <c r="A26" s="98" t="s">
        <v>367</v>
      </c>
      <c r="B26" s="236" t="s">
        <v>162</v>
      </c>
      <c r="C26" s="142" t="s">
        <v>216</v>
      </c>
      <c r="D26" s="170" t="s">
        <v>392</v>
      </c>
      <c r="E26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0.42985307973452885</v>
      </c>
      <c r="F26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0.42985307973452885</v>
      </c>
      <c r="G26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0.16028183013573818</v>
      </c>
      <c r="H26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0.40986509012973299</v>
      </c>
      <c r="I26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0.3509986229460671</v>
      </c>
      <c r="J26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6.1553275421140363E-3</v>
      </c>
      <c r="K26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5.2711139641551823E-2</v>
      </c>
      <c r="L26" s="18">
        <f>IFERROR(VLOOKUP(Vertailu[[#This Row],[Y-tunnus]],'Suoritepäätös 2020'!$Q:$AC,COLUMN('Suoritepäätös 2020'!L:L),FALSE)-VLOOKUP(Vertailu[[#This Row],[Y-tunnus]],'Suoritepäätös 2020'!$B:$N,COLUMN('Suoritepäätös 2020'!F:F),FALSE),0)</f>
        <v>98594</v>
      </c>
      <c r="M26" s="18">
        <f>IFERROR(VLOOKUP(Vertailu[[#This Row],[Y-tunnus]],'1.2 Ohjaus-laskentataulu'!A:AY,COLUMN('1.2 Ohjaus-laskentataulu'!Z:Z),FALSE),0)</f>
        <v>193166</v>
      </c>
      <c r="N26" s="18">
        <f>IFERROR(Vertailu[[#This Row],[Rahoitus pl. hark. kor. 2021 ilman alv, €]]-Vertailu[[#This Row],[Rahoitus pl. hark. kor. 2020 ilman alv, €]],0)</f>
        <v>94572</v>
      </c>
      <c r="O26" s="43">
        <f>IFERROR(Vertailu[[#This Row],[Muutos, € 1]]/Vertailu[[#This Row],[Rahoitus pl. hark. kor. 2020 ilman alv, €]],0)</f>
        <v>0.95920644258271293</v>
      </c>
      <c r="P26" s="135">
        <f>IFERROR(VLOOKUP(Vertailu[[#This Row],[Y-tunnus]],'Suoritepäätös 2020'!$Q:$AC,COLUMN('Suoritepäätös 2020'!L:L),FALSE),0)</f>
        <v>98594</v>
      </c>
      <c r="Q26" s="138">
        <f>IFERROR(VLOOKUP(Vertailu[[#This Row],[Y-tunnus]],'1.2 Ohjaus-laskentataulu'!A:AY,COLUMN('1.2 Ohjaus-laskentataulu'!AV:AV),FALSE),0)</f>
        <v>193166</v>
      </c>
      <c r="R26" s="18">
        <f>IFERROR(Vertailu[[#This Row],[Rahoitus ml. hark. kor. 
2021 ilman alv, €]]-Vertailu[[#This Row],[Rahoitus ml. hark. kor. 
2020 ilman alv, €]],0)</f>
        <v>94572</v>
      </c>
      <c r="S26" s="16">
        <f>IFERROR(Vertailu[[#This Row],[Muutos, € 2]]/Vertailu[[#This Row],[Rahoitus ml. hark. kor. 
2020 ilman alv, €]],0)</f>
        <v>0.95920644258271293</v>
      </c>
      <c r="T26" s="138">
        <f>IFERROR(VLOOKUP(Vertailu[[#This Row],[Y-tunnus]],'Suoritepäätös 2020'!$Q:$AC,COLUMN('Suoritepäätös 2020'!L:L),FALSE)+VLOOKUP(Vertailu[[#This Row],[Y-tunnus]],'Suoritepäätös 2020'!$Q:$AC,COLUMN('Suoritepäätös 2020'!M:M),FALSE),0)</f>
        <v>102960</v>
      </c>
      <c r="U26" s="135">
        <f>IFERROR(VLOOKUP(Vertailu[[#This Row],[Y-tunnus]],'1.2 Ohjaus-laskentataulu'!A:AY,COLUMN('1.2 Ohjaus-laskentataulu'!AX:AX),FALSE),0)</f>
        <v>199473</v>
      </c>
      <c r="V26" s="141">
        <f>IFERROR(Vertailu[[#This Row],[Rahoitus ml. hark. kor. + alv 2021, €]]-Vertailu[[#This Row],[Rahoitus ml. hark. kor. + alv 2020, €]],0)</f>
        <v>96513</v>
      </c>
      <c r="W26" s="43">
        <f>IFERROR(Vertailu[[#This Row],[Muutos, € 3]]/Vertailu[[#This Row],[Rahoitus ml. hark. kor. + alv 2020, €]],0)</f>
        <v>0.9373834498834499</v>
      </c>
      <c r="X26" s="18">
        <f>IFERROR(VLOOKUP(Vertailu[[#This Row],[Y-tunnus]],'Suoritepäätös 2020'!$B:$N,COLUMN('Suoritepäätös 2020'!G:G),FALSE),0)</f>
        <v>79675</v>
      </c>
      <c r="Y26" s="18">
        <f>IFERROR(VLOOKUP(Vertailu[[#This Row],[Y-tunnus]],'1.2 Ohjaus-laskentataulu'!A:AY,COLUMN('1.2 Ohjaus-laskentataulu'!AS:AS),FALSE),0)</f>
        <v>83033</v>
      </c>
      <c r="Z26" s="18">
        <f>Vertailu[[#This Row],[Perusrahoitus 2021, €]]-Vertailu[[#This Row],[Perusrahoitus 2020, €]]</f>
        <v>3358</v>
      </c>
      <c r="AA26" s="43">
        <f>IFERROR(Vertailu[[#This Row],[Perusrahoituksen muutos, €]]/Vertailu[[#This Row],[Perusrahoitus 2020, €]],0)</f>
        <v>4.214621901474741E-2</v>
      </c>
      <c r="AB26" s="18">
        <f>IFERROR(VLOOKUP(Vertailu[[#This Row],[Y-tunnus]],'Suoritepäätös 2020'!$B:$N,COLUMN('Suoritepäätös 2020'!M:M),FALSE),0)</f>
        <v>6159</v>
      </c>
      <c r="AC26" s="18">
        <f>IFERROR(VLOOKUP(Vertailu[[#This Row],[Y-tunnus]],'1.2 Ohjaus-laskentataulu'!A:AY,COLUMN('1.2 Ohjaus-laskentataulu'!O:O),FALSE),0)</f>
        <v>30961</v>
      </c>
      <c r="AD26" s="18">
        <f>Vertailu[[#This Row],[Suoritusrahoitus 2021, €]]-Vertailu[[#This Row],[Suoritusrahoitus 2020, €]]</f>
        <v>24802</v>
      </c>
      <c r="AE26" s="43">
        <f>IFERROR(Vertailu[[#This Row],[Suoritusrahoituksen muutos, €]]/Vertailu[[#This Row],[Suoritusrahoitus 2020, €]],0)</f>
        <v>4.0269524273421009</v>
      </c>
      <c r="AF26" s="18">
        <f>IFERROR(VLOOKUP(Vertailu[[#This Row],[Y-tunnus]],'Suoritepäätös 2020'!$Q:$AC,COLUMN('Suoritepäätös 2020'!K:K),FALSE),0)</f>
        <v>12760</v>
      </c>
      <c r="AG26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79172</v>
      </c>
      <c r="AH26" s="18">
        <f>Vertailu[[#This Row],[Vaikuttavuusrahoitus 2021, €]]-Vertailu[[#This Row],[Vaikuttavuusrahoitus 2020, €]]</f>
        <v>66412</v>
      </c>
      <c r="AI26" s="43">
        <f>IFERROR(Vertailu[[#This Row],[Vaikuttavuusrahoituksen muutos, €]]/Vertailu[[#This Row],[Vaikuttavuusrahoitus 2020, €]],0)</f>
        <v>5.2047021943573668</v>
      </c>
    </row>
    <row r="27" spans="1:35" ht="12.75" customHeight="1" x14ac:dyDescent="0.25">
      <c r="A27" s="22" t="s">
        <v>366</v>
      </c>
      <c r="B27" s="236" t="s">
        <v>32</v>
      </c>
      <c r="C27" s="142" t="s">
        <v>216</v>
      </c>
      <c r="D27" s="170" t="s">
        <v>393</v>
      </c>
      <c r="E27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0.71364299068140236</v>
      </c>
      <c r="F27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0.71659902690134192</v>
      </c>
      <c r="G27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0.19322060682628248</v>
      </c>
      <c r="H27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9.0180366272375592E-2</v>
      </c>
      <c r="I27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7.1390683333645538E-2</v>
      </c>
      <c r="J27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5.5975939792067379E-3</v>
      </c>
      <c r="K27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1.3192088959523314E-2</v>
      </c>
      <c r="L27" s="18">
        <f>IFERROR(VLOOKUP(Vertailu[[#This Row],[Y-tunnus]],'Suoritepäätös 2020'!$Q:$AC,COLUMN('Suoritepäätös 2020'!L:L),FALSE)-VLOOKUP(Vertailu[[#This Row],[Y-tunnus]],'Suoritepäätös 2020'!$B:$N,COLUMN('Suoritepäätös 2020'!F:F),FALSE),0)</f>
        <v>86245639</v>
      </c>
      <c r="M27" s="18">
        <f>IFERROR(VLOOKUP(Vertailu[[#This Row],[Y-tunnus]],'1.2 Ohjaus-laskentataulu'!A:AY,COLUMN('1.2 Ohjaus-laskentataulu'!Z:Z),FALSE),0)</f>
        <v>91068529</v>
      </c>
      <c r="N27" s="18">
        <f>IFERROR(Vertailu[[#This Row],[Rahoitus pl. hark. kor. 2021 ilman alv, €]]-Vertailu[[#This Row],[Rahoitus pl. hark. kor. 2020 ilman alv, €]],0)</f>
        <v>4822890</v>
      </c>
      <c r="O27" s="43">
        <f>IFERROR(Vertailu[[#This Row],[Muutos, € 1]]/Vertailu[[#This Row],[Rahoitus pl. hark. kor. 2020 ilman alv, €]],0)</f>
        <v>5.5920392682115787E-2</v>
      </c>
      <c r="P27" s="135">
        <f>IFERROR(VLOOKUP(Vertailu[[#This Row],[Y-tunnus]],'Suoritepäätös 2020'!$Q:$AC,COLUMN('Suoritepäätös 2020'!L:L),FALSE),0)</f>
        <v>86670639</v>
      </c>
      <c r="Q27" s="138">
        <f>IFERROR(VLOOKUP(Vertailu[[#This Row],[Y-tunnus]],'1.2 Ohjaus-laskentataulu'!A:AY,COLUMN('1.2 Ohjaus-laskentataulu'!AV:AV),FALSE),0)</f>
        <v>91338529</v>
      </c>
      <c r="R27" s="18">
        <f>IFERROR(Vertailu[[#This Row],[Rahoitus ml. hark. kor. 
2021 ilman alv, €]]-Vertailu[[#This Row],[Rahoitus ml. hark. kor. 
2020 ilman alv, €]],0)</f>
        <v>4667890</v>
      </c>
      <c r="S27" s="16">
        <f>IFERROR(Vertailu[[#This Row],[Muutos, € 2]]/Vertailu[[#This Row],[Rahoitus ml. hark. kor. 
2020 ilman alv, €]],0)</f>
        <v>5.3857800679189639E-2</v>
      </c>
      <c r="T27" s="138">
        <f>IFERROR(VLOOKUP(Vertailu[[#This Row],[Y-tunnus]],'Suoritepäätös 2020'!$Q:$AC,COLUMN('Suoritepäätös 2020'!L:L),FALSE)+VLOOKUP(Vertailu[[#This Row],[Y-tunnus]],'Suoritepäätös 2020'!$Q:$AC,COLUMN('Suoritepäätös 2020'!M:M),FALSE),0)</f>
        <v>86670639</v>
      </c>
      <c r="U27" s="135">
        <f>IFERROR(VLOOKUP(Vertailu[[#This Row],[Y-tunnus]],'1.2 Ohjaus-laskentataulu'!A:AY,COLUMN('1.2 Ohjaus-laskentataulu'!AX:AX),FALSE),0)</f>
        <v>91338529</v>
      </c>
      <c r="V27" s="141">
        <f>IFERROR(Vertailu[[#This Row],[Rahoitus ml. hark. kor. + alv 2021, €]]-Vertailu[[#This Row],[Rahoitus ml. hark. kor. + alv 2020, €]],0)</f>
        <v>4667890</v>
      </c>
      <c r="W27" s="43">
        <f>IFERROR(Vertailu[[#This Row],[Muutos, € 3]]/Vertailu[[#This Row],[Rahoitus ml. hark. kor. + alv 2020, €]],0)</f>
        <v>5.3857800679189639E-2</v>
      </c>
      <c r="X27" s="18">
        <f>IFERROR(VLOOKUP(Vertailu[[#This Row],[Y-tunnus]],'Suoritepäätös 2020'!$B:$N,COLUMN('Suoritepäätös 2020'!G:G),FALSE),0)</f>
        <v>61589951</v>
      </c>
      <c r="Y27" s="18">
        <f>IFERROR(VLOOKUP(Vertailu[[#This Row],[Y-tunnus]],'1.2 Ohjaus-laskentataulu'!A:AY,COLUMN('1.2 Ohjaus-laskentataulu'!AS:AS),FALSE),0)</f>
        <v>65453101</v>
      </c>
      <c r="Z27" s="18">
        <f>Vertailu[[#This Row],[Perusrahoitus 2021, €]]-Vertailu[[#This Row],[Perusrahoitus 2020, €]]</f>
        <v>3863150</v>
      </c>
      <c r="AA27" s="43">
        <f>IFERROR(Vertailu[[#This Row],[Perusrahoituksen muutos, €]]/Vertailu[[#This Row],[Perusrahoitus 2020, €]],0)</f>
        <v>6.2723706339691682E-2</v>
      </c>
      <c r="AB27" s="18">
        <f>IFERROR(VLOOKUP(Vertailu[[#This Row],[Y-tunnus]],'Suoritepäätös 2020'!$B:$N,COLUMN('Suoritepäätös 2020'!M:M),FALSE),0)</f>
        <v>17381790</v>
      </c>
      <c r="AC27" s="18">
        <f>IFERROR(VLOOKUP(Vertailu[[#This Row],[Y-tunnus]],'1.2 Ohjaus-laskentataulu'!A:AY,COLUMN('1.2 Ohjaus-laskentataulu'!O:O),FALSE),0)</f>
        <v>17648486</v>
      </c>
      <c r="AD27" s="18">
        <f>Vertailu[[#This Row],[Suoritusrahoitus 2021, €]]-Vertailu[[#This Row],[Suoritusrahoitus 2020, €]]</f>
        <v>266696</v>
      </c>
      <c r="AE27" s="43">
        <f>IFERROR(Vertailu[[#This Row],[Suoritusrahoituksen muutos, €]]/Vertailu[[#This Row],[Suoritusrahoitus 2020, €]],0)</f>
        <v>1.5343413998213073E-2</v>
      </c>
      <c r="AF27" s="18">
        <f>IFERROR(VLOOKUP(Vertailu[[#This Row],[Y-tunnus]],'Suoritepäätös 2020'!$Q:$AC,COLUMN('Suoritepäätös 2020'!K:K),FALSE),0)</f>
        <v>7698898</v>
      </c>
      <c r="AG27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8236942</v>
      </c>
      <c r="AH27" s="18">
        <f>Vertailu[[#This Row],[Vaikuttavuusrahoitus 2021, €]]-Vertailu[[#This Row],[Vaikuttavuusrahoitus 2020, €]]</f>
        <v>538044</v>
      </c>
      <c r="AI27" s="43">
        <f>IFERROR(Vertailu[[#This Row],[Vaikuttavuusrahoituksen muutos, €]]/Vertailu[[#This Row],[Vaikuttavuusrahoitus 2020, €]],0)</f>
        <v>6.9885846000297708E-2</v>
      </c>
    </row>
    <row r="28" spans="1:35" ht="12.75" customHeight="1" x14ac:dyDescent="0.25">
      <c r="A28" s="22" t="s">
        <v>362</v>
      </c>
      <c r="B28" s="236" t="s">
        <v>33</v>
      </c>
      <c r="C28" s="142" t="s">
        <v>216</v>
      </c>
      <c r="D28" s="170" t="s">
        <v>392</v>
      </c>
      <c r="E28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0.64372672791994201</v>
      </c>
      <c r="F28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0.64372672791994201</v>
      </c>
      <c r="G28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0.28671919483211333</v>
      </c>
      <c r="H28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6.9554077247944684E-2</v>
      </c>
      <c r="I28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4.7894913629604748E-2</v>
      </c>
      <c r="J28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3.2995662022832751E-3</v>
      </c>
      <c r="K28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1.835959741605666E-2</v>
      </c>
      <c r="L28" s="18">
        <f>IFERROR(VLOOKUP(Vertailu[[#This Row],[Y-tunnus]],'Suoritepäätös 2020'!$Q:$AC,COLUMN('Suoritepäätös 2020'!L:L),FALSE)-VLOOKUP(Vertailu[[#This Row],[Y-tunnus]],'Suoritepäätös 2020'!$B:$N,COLUMN('Suoritepäätös 2020'!F:F),FALSE),0)</f>
        <v>988553</v>
      </c>
      <c r="M28" s="18">
        <f>IFERROR(VLOOKUP(Vertailu[[#This Row],[Y-tunnus]],'1.2 Ohjaus-laskentataulu'!A:AY,COLUMN('1.2 Ohjaus-laskentataulu'!Z:Z),FALSE),0)</f>
        <v>976492</v>
      </c>
      <c r="N28" s="18">
        <f>IFERROR(Vertailu[[#This Row],[Rahoitus pl. hark. kor. 2021 ilman alv, €]]-Vertailu[[#This Row],[Rahoitus pl. hark. kor. 2020 ilman alv, €]],0)</f>
        <v>-12061</v>
      </c>
      <c r="O28" s="43">
        <f>IFERROR(Vertailu[[#This Row],[Muutos, € 1]]/Vertailu[[#This Row],[Rahoitus pl. hark. kor. 2020 ilman alv, €]],0)</f>
        <v>-1.2200660966078703E-2</v>
      </c>
      <c r="P28" s="135">
        <f>IFERROR(VLOOKUP(Vertailu[[#This Row],[Y-tunnus]],'Suoritepäätös 2020'!$Q:$AC,COLUMN('Suoritepäätös 2020'!L:L),FALSE),0)</f>
        <v>988553</v>
      </c>
      <c r="Q28" s="138">
        <f>IFERROR(VLOOKUP(Vertailu[[#This Row],[Y-tunnus]],'1.2 Ohjaus-laskentataulu'!A:AY,COLUMN('1.2 Ohjaus-laskentataulu'!AV:AV),FALSE),0)</f>
        <v>976492</v>
      </c>
      <c r="R28" s="18">
        <f>IFERROR(Vertailu[[#This Row],[Rahoitus ml. hark. kor. 
2021 ilman alv, €]]-Vertailu[[#This Row],[Rahoitus ml. hark. kor. 
2020 ilman alv, €]],0)</f>
        <v>-12061</v>
      </c>
      <c r="S28" s="16">
        <f>IFERROR(Vertailu[[#This Row],[Muutos, € 2]]/Vertailu[[#This Row],[Rahoitus ml. hark. kor. 
2020 ilman alv, €]],0)</f>
        <v>-1.2200660966078703E-2</v>
      </c>
      <c r="T28" s="138">
        <f>IFERROR(VLOOKUP(Vertailu[[#This Row],[Y-tunnus]],'Suoritepäätös 2020'!$Q:$AC,COLUMN('Suoritepäätös 2020'!L:L),FALSE)+VLOOKUP(Vertailu[[#This Row],[Y-tunnus]],'Suoritepäätös 2020'!$Q:$AC,COLUMN('Suoritepäätös 2020'!M:M),FALSE),0)</f>
        <v>1012331</v>
      </c>
      <c r="U28" s="135">
        <f>IFERROR(VLOOKUP(Vertailu[[#This Row],[Y-tunnus]],'1.2 Ohjaus-laskentataulu'!A:AY,COLUMN('1.2 Ohjaus-laskentataulu'!AX:AX),FALSE),0)</f>
        <v>1004283</v>
      </c>
      <c r="V28" s="141">
        <f>IFERROR(Vertailu[[#This Row],[Rahoitus ml. hark. kor. + alv 2021, €]]-Vertailu[[#This Row],[Rahoitus ml. hark. kor. + alv 2020, €]],0)</f>
        <v>-8048</v>
      </c>
      <c r="W28" s="43">
        <f>IFERROR(Vertailu[[#This Row],[Muutos, € 3]]/Vertailu[[#This Row],[Rahoitus ml. hark. kor. + alv 2020, €]],0)</f>
        <v>-7.9499689330861153E-3</v>
      </c>
      <c r="X28" s="18">
        <f>IFERROR(VLOOKUP(Vertailu[[#This Row],[Y-tunnus]],'Suoritepäätös 2020'!$B:$N,COLUMN('Suoritepäätös 2020'!G:G),FALSE),0)</f>
        <v>601398</v>
      </c>
      <c r="Y28" s="18">
        <f>IFERROR(VLOOKUP(Vertailu[[#This Row],[Y-tunnus]],'1.2 Ohjaus-laskentataulu'!A:AY,COLUMN('1.2 Ohjaus-laskentataulu'!AS:AS),FALSE),0)</f>
        <v>628594</v>
      </c>
      <c r="Z28" s="18">
        <f>Vertailu[[#This Row],[Perusrahoitus 2021, €]]-Vertailu[[#This Row],[Perusrahoitus 2020, €]]</f>
        <v>27196</v>
      </c>
      <c r="AA28" s="43">
        <f>IFERROR(Vertailu[[#This Row],[Perusrahoituksen muutos, €]]/Vertailu[[#This Row],[Perusrahoitus 2020, €]],0)</f>
        <v>4.5221301035254527E-2</v>
      </c>
      <c r="AB28" s="18">
        <f>IFERROR(VLOOKUP(Vertailu[[#This Row],[Y-tunnus]],'Suoritepäätös 2020'!$B:$N,COLUMN('Suoritepäätös 2020'!M:M),FALSE),0)</f>
        <v>298005</v>
      </c>
      <c r="AC28" s="18">
        <f>IFERROR(VLOOKUP(Vertailu[[#This Row],[Y-tunnus]],'1.2 Ohjaus-laskentataulu'!A:AY,COLUMN('1.2 Ohjaus-laskentataulu'!O:O),FALSE),0)</f>
        <v>279979</v>
      </c>
      <c r="AD28" s="18">
        <f>Vertailu[[#This Row],[Suoritusrahoitus 2021, €]]-Vertailu[[#This Row],[Suoritusrahoitus 2020, €]]</f>
        <v>-18026</v>
      </c>
      <c r="AE28" s="43">
        <f>IFERROR(Vertailu[[#This Row],[Suoritusrahoituksen muutos, €]]/Vertailu[[#This Row],[Suoritusrahoitus 2020, €]],0)</f>
        <v>-6.0488917971174977E-2</v>
      </c>
      <c r="AF28" s="18">
        <f>IFERROR(VLOOKUP(Vertailu[[#This Row],[Y-tunnus]],'Suoritepäätös 2020'!$Q:$AC,COLUMN('Suoritepäätös 2020'!K:K),FALSE),0)</f>
        <v>89150</v>
      </c>
      <c r="AG28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67919</v>
      </c>
      <c r="AH28" s="18">
        <f>Vertailu[[#This Row],[Vaikuttavuusrahoitus 2021, €]]-Vertailu[[#This Row],[Vaikuttavuusrahoitus 2020, €]]</f>
        <v>-21231</v>
      </c>
      <c r="AI28" s="43">
        <f>IFERROR(Vertailu[[#This Row],[Vaikuttavuusrahoituksen muutos, €]]/Vertailu[[#This Row],[Vaikuttavuusrahoitus 2020, €]],0)</f>
        <v>-0.23814918676388111</v>
      </c>
    </row>
    <row r="29" spans="1:35" ht="12.75" customHeight="1" x14ac:dyDescent="0.25">
      <c r="A29" s="22" t="s">
        <v>365</v>
      </c>
      <c r="B29" s="236" t="s">
        <v>34</v>
      </c>
      <c r="C29" s="142" t="s">
        <v>216</v>
      </c>
      <c r="D29" s="170" t="s">
        <v>392</v>
      </c>
      <c r="E29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0.65112851437948505</v>
      </c>
      <c r="F29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0.6547299357164299</v>
      </c>
      <c r="G29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0.20033806542089902</v>
      </c>
      <c r="H29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0.14493199886267114</v>
      </c>
      <c r="I29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0.10495574183307184</v>
      </c>
      <c r="J29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7.796476957596085E-3</v>
      </c>
      <c r="K29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3.2179780072003214E-2</v>
      </c>
      <c r="L29" s="18">
        <f>IFERROR(VLOOKUP(Vertailu[[#This Row],[Y-tunnus]],'Suoritepäätös 2020'!$Q:$AC,COLUMN('Suoritepäätös 2020'!L:L),FALSE)-VLOOKUP(Vertailu[[#This Row],[Y-tunnus]],'Suoritepäätös 2020'!$B:$N,COLUMN('Suoritepäätös 2020'!F:F),FALSE),0)</f>
        <v>14754263</v>
      </c>
      <c r="M29" s="18">
        <f>IFERROR(VLOOKUP(Vertailu[[#This Row],[Y-tunnus]],'1.2 Ohjaus-laskentataulu'!A:AY,COLUMN('1.2 Ohjaus-laskentataulu'!Z:Z),FALSE),0)</f>
        <v>16600089</v>
      </c>
      <c r="N29" s="18">
        <f>IFERROR(Vertailu[[#This Row],[Rahoitus pl. hark. kor. 2021 ilman alv, €]]-Vertailu[[#This Row],[Rahoitus pl. hark. kor. 2020 ilman alv, €]],0)</f>
        <v>1845826</v>
      </c>
      <c r="O29" s="43">
        <f>IFERROR(Vertailu[[#This Row],[Muutos, € 1]]/Vertailu[[#This Row],[Rahoitus pl. hark. kor. 2020 ilman alv, €]],0)</f>
        <v>0.12510458841624281</v>
      </c>
      <c r="P29" s="135">
        <f>IFERROR(VLOOKUP(Vertailu[[#This Row],[Y-tunnus]],'Suoritepäätös 2020'!$Q:$AC,COLUMN('Suoritepäätös 2020'!L:L),FALSE),0)</f>
        <v>14754263</v>
      </c>
      <c r="Q29" s="138">
        <f>IFERROR(VLOOKUP(Vertailu[[#This Row],[Y-tunnus]],'1.2 Ohjaus-laskentataulu'!A:AY,COLUMN('1.2 Ohjaus-laskentataulu'!AV:AV),FALSE),0)</f>
        <v>16660089</v>
      </c>
      <c r="R29" s="18">
        <f>IFERROR(Vertailu[[#This Row],[Rahoitus ml. hark. kor. 
2021 ilman alv, €]]-Vertailu[[#This Row],[Rahoitus ml. hark. kor. 
2020 ilman alv, €]],0)</f>
        <v>1905826</v>
      </c>
      <c r="S29" s="16">
        <f>IFERROR(Vertailu[[#This Row],[Muutos, € 2]]/Vertailu[[#This Row],[Rahoitus ml. hark. kor. 
2020 ilman alv, €]],0)</f>
        <v>0.12917120970393439</v>
      </c>
      <c r="T29" s="138">
        <f>IFERROR(VLOOKUP(Vertailu[[#This Row],[Y-tunnus]],'Suoritepäätös 2020'!$Q:$AC,COLUMN('Suoritepäätös 2020'!L:L),FALSE)+VLOOKUP(Vertailu[[#This Row],[Y-tunnus]],'Suoritepäätös 2020'!$Q:$AC,COLUMN('Suoritepäätös 2020'!M:M),FALSE),0)</f>
        <v>15945053</v>
      </c>
      <c r="U29" s="135">
        <f>IFERROR(VLOOKUP(Vertailu[[#This Row],[Y-tunnus]],'1.2 Ohjaus-laskentataulu'!A:AY,COLUMN('1.2 Ohjaus-laskentataulu'!AX:AX),FALSE),0)</f>
        <v>17932172</v>
      </c>
      <c r="V29" s="141">
        <f>IFERROR(Vertailu[[#This Row],[Rahoitus ml. hark. kor. + alv 2021, €]]-Vertailu[[#This Row],[Rahoitus ml. hark. kor. + alv 2020, €]],0)</f>
        <v>1987119</v>
      </c>
      <c r="W29" s="43">
        <f>IFERROR(Vertailu[[#This Row],[Muutos, € 3]]/Vertailu[[#This Row],[Rahoitus ml. hark. kor. + alv 2020, €]],0)</f>
        <v>0.12462291596020408</v>
      </c>
      <c r="X29" s="18">
        <f>IFERROR(VLOOKUP(Vertailu[[#This Row],[Y-tunnus]],'Suoritepäätös 2020'!$B:$N,COLUMN('Suoritepäätös 2020'!G:G),FALSE),0)</f>
        <v>10138779</v>
      </c>
      <c r="Y29" s="18">
        <f>IFERROR(VLOOKUP(Vertailu[[#This Row],[Y-tunnus]],'1.2 Ohjaus-laskentataulu'!A:AY,COLUMN('1.2 Ohjaus-laskentataulu'!AS:AS),FALSE),0)</f>
        <v>10907859</v>
      </c>
      <c r="Z29" s="18">
        <f>Vertailu[[#This Row],[Perusrahoitus 2021, €]]-Vertailu[[#This Row],[Perusrahoitus 2020, €]]</f>
        <v>769080</v>
      </c>
      <c r="AA29" s="43">
        <f>IFERROR(Vertailu[[#This Row],[Perusrahoituksen muutos, €]]/Vertailu[[#This Row],[Perusrahoitus 2020, €]],0)</f>
        <v>7.5855287900051874E-2</v>
      </c>
      <c r="AB29" s="18">
        <f>IFERROR(VLOOKUP(Vertailu[[#This Row],[Y-tunnus]],'Suoritepäätös 2020'!$B:$N,COLUMN('Suoritepäätös 2020'!M:M),FALSE),0)</f>
        <v>2964606</v>
      </c>
      <c r="AC29" s="18">
        <f>IFERROR(VLOOKUP(Vertailu[[#This Row],[Y-tunnus]],'1.2 Ohjaus-laskentataulu'!A:AY,COLUMN('1.2 Ohjaus-laskentataulu'!O:O),FALSE),0)</f>
        <v>3337650</v>
      </c>
      <c r="AD29" s="18">
        <f>Vertailu[[#This Row],[Suoritusrahoitus 2021, €]]-Vertailu[[#This Row],[Suoritusrahoitus 2020, €]]</f>
        <v>373044</v>
      </c>
      <c r="AE29" s="43">
        <f>IFERROR(Vertailu[[#This Row],[Suoritusrahoituksen muutos, €]]/Vertailu[[#This Row],[Suoritusrahoitus 2020, €]],0)</f>
        <v>0.12583257269262763</v>
      </c>
      <c r="AF29" s="18">
        <f>IFERROR(VLOOKUP(Vertailu[[#This Row],[Y-tunnus]],'Suoritepäätös 2020'!$Q:$AC,COLUMN('Suoritepäätös 2020'!K:K),FALSE),0)</f>
        <v>1650878</v>
      </c>
      <c r="AG29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2414580</v>
      </c>
      <c r="AH29" s="18">
        <f>Vertailu[[#This Row],[Vaikuttavuusrahoitus 2021, €]]-Vertailu[[#This Row],[Vaikuttavuusrahoitus 2020, €]]</f>
        <v>763702</v>
      </c>
      <c r="AI29" s="43">
        <f>IFERROR(Vertailu[[#This Row],[Vaikuttavuusrahoituksen muutos, €]]/Vertailu[[#This Row],[Vaikuttavuusrahoitus 2020, €]],0)</f>
        <v>0.4626035358154873</v>
      </c>
    </row>
    <row r="30" spans="1:35" ht="12.75" customHeight="1" x14ac:dyDescent="0.25">
      <c r="A30" s="22" t="s">
        <v>364</v>
      </c>
      <c r="B30" s="236" t="s">
        <v>35</v>
      </c>
      <c r="C30" s="142" t="s">
        <v>216</v>
      </c>
      <c r="D30" s="170" t="s">
        <v>392</v>
      </c>
      <c r="E30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0.83948551696294049</v>
      </c>
      <c r="F30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0.83948551696294049</v>
      </c>
      <c r="G30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0.14465787804935654</v>
      </c>
      <c r="H30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1.5856604987702978E-2</v>
      </c>
      <c r="I30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1.1012625003397891E-2</v>
      </c>
      <c r="J30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1.3003160818506273E-3</v>
      </c>
      <c r="K30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3.5436639024544582E-3</v>
      </c>
      <c r="L30" s="18">
        <f>IFERROR(VLOOKUP(Vertailu[[#This Row],[Y-tunnus]],'Suoritepäätös 2020'!$Q:$AC,COLUMN('Suoritepäätös 2020'!L:L),FALSE)-VLOOKUP(Vertailu[[#This Row],[Y-tunnus]],'Suoritepäätös 2020'!$B:$N,COLUMN('Suoritepäätös 2020'!F:F),FALSE),0)</f>
        <v>52535121</v>
      </c>
      <c r="M30" s="18">
        <f>IFERROR(VLOOKUP(Vertailu[[#This Row],[Y-tunnus]],'1.2 Ohjaus-laskentataulu'!A:AY,COLUMN('1.2 Ohjaus-laskentataulu'!Z:Z),FALSE),0)</f>
        <v>56100975</v>
      </c>
      <c r="N30" s="18">
        <f>IFERROR(Vertailu[[#This Row],[Rahoitus pl. hark. kor. 2021 ilman alv, €]]-Vertailu[[#This Row],[Rahoitus pl. hark. kor. 2020 ilman alv, €]],0)</f>
        <v>3565854</v>
      </c>
      <c r="O30" s="43">
        <f>IFERROR(Vertailu[[#This Row],[Muutos, € 1]]/Vertailu[[#This Row],[Rahoitus pl. hark. kor. 2020 ilman alv, €]],0)</f>
        <v>6.7875621719801507E-2</v>
      </c>
      <c r="P30" s="135">
        <f>IFERROR(VLOOKUP(Vertailu[[#This Row],[Y-tunnus]],'Suoritepäätös 2020'!$Q:$AC,COLUMN('Suoritepäätös 2020'!L:L),FALSE),0)</f>
        <v>52615121</v>
      </c>
      <c r="Q30" s="138">
        <f>IFERROR(VLOOKUP(Vertailu[[#This Row],[Y-tunnus]],'1.2 Ohjaus-laskentataulu'!A:AY,COLUMN('1.2 Ohjaus-laskentataulu'!AV:AV),FALSE),0)</f>
        <v>56100975</v>
      </c>
      <c r="R30" s="18">
        <f>IFERROR(Vertailu[[#This Row],[Rahoitus ml. hark. kor. 
2021 ilman alv, €]]-Vertailu[[#This Row],[Rahoitus ml. hark. kor. 
2020 ilman alv, €]],0)</f>
        <v>3485854</v>
      </c>
      <c r="S30" s="16">
        <f>IFERROR(Vertailu[[#This Row],[Muutos, € 2]]/Vertailu[[#This Row],[Rahoitus ml. hark. kor. 
2020 ilman alv, €]],0)</f>
        <v>6.6251943048843312E-2</v>
      </c>
      <c r="T30" s="138">
        <f>IFERROR(VLOOKUP(Vertailu[[#This Row],[Y-tunnus]],'Suoritepäätös 2020'!$Q:$AC,COLUMN('Suoritepäätös 2020'!L:L),FALSE)+VLOOKUP(Vertailu[[#This Row],[Y-tunnus]],'Suoritepäätös 2020'!$Q:$AC,COLUMN('Suoritepäätös 2020'!M:M),FALSE),0)</f>
        <v>54862666</v>
      </c>
      <c r="U30" s="135">
        <f>IFERROR(VLOOKUP(Vertailu[[#This Row],[Y-tunnus]],'1.2 Ohjaus-laskentataulu'!A:AY,COLUMN('1.2 Ohjaus-laskentataulu'!AX:AX),FALSE),0)</f>
        <v>58305051</v>
      </c>
      <c r="V30" s="141">
        <f>IFERROR(Vertailu[[#This Row],[Rahoitus ml. hark. kor. + alv 2021, €]]-Vertailu[[#This Row],[Rahoitus ml. hark. kor. + alv 2020, €]],0)</f>
        <v>3442385</v>
      </c>
      <c r="W30" s="43">
        <f>IFERROR(Vertailu[[#This Row],[Muutos, € 3]]/Vertailu[[#This Row],[Rahoitus ml. hark. kor. + alv 2020, €]],0)</f>
        <v>6.274549253585307E-2</v>
      </c>
      <c r="X30" s="18">
        <f>IFERROR(VLOOKUP(Vertailu[[#This Row],[Y-tunnus]],'Suoritepäätös 2020'!$B:$N,COLUMN('Suoritepäätös 2020'!G:G),FALSE),0)</f>
        <v>43695225</v>
      </c>
      <c r="Y30" s="18">
        <f>IFERROR(VLOOKUP(Vertailu[[#This Row],[Y-tunnus]],'1.2 Ohjaus-laskentataulu'!A:AY,COLUMN('1.2 Ohjaus-laskentataulu'!AS:AS),FALSE),0)</f>
        <v>47095956</v>
      </c>
      <c r="Z30" s="18">
        <f>Vertailu[[#This Row],[Perusrahoitus 2021, €]]-Vertailu[[#This Row],[Perusrahoitus 2020, €]]</f>
        <v>3400731</v>
      </c>
      <c r="AA30" s="43">
        <f>IFERROR(Vertailu[[#This Row],[Perusrahoituksen muutos, €]]/Vertailu[[#This Row],[Perusrahoitus 2020, €]],0)</f>
        <v>7.7828435486943945E-2</v>
      </c>
      <c r="AB30" s="18">
        <f>IFERROR(VLOOKUP(Vertailu[[#This Row],[Y-tunnus]],'Suoritepäätös 2020'!$B:$N,COLUMN('Suoritepäätös 2020'!M:M),FALSE),0)</f>
        <v>8016013</v>
      </c>
      <c r="AC30" s="18">
        <f>IFERROR(VLOOKUP(Vertailu[[#This Row],[Y-tunnus]],'1.2 Ohjaus-laskentataulu'!A:AY,COLUMN('1.2 Ohjaus-laskentataulu'!O:O),FALSE),0)</f>
        <v>8115448</v>
      </c>
      <c r="AD30" s="18">
        <f>Vertailu[[#This Row],[Suoritusrahoitus 2021, €]]-Vertailu[[#This Row],[Suoritusrahoitus 2020, €]]</f>
        <v>99435</v>
      </c>
      <c r="AE30" s="43">
        <f>IFERROR(Vertailu[[#This Row],[Suoritusrahoituksen muutos, €]]/Vertailu[[#This Row],[Suoritusrahoitus 2020, €]],0)</f>
        <v>1.2404545751110933E-2</v>
      </c>
      <c r="AF30" s="18">
        <f>IFERROR(VLOOKUP(Vertailu[[#This Row],[Y-tunnus]],'Suoritepäätös 2020'!$Q:$AC,COLUMN('Suoritepäätös 2020'!K:K),FALSE),0)</f>
        <v>903883</v>
      </c>
      <c r="AG30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889571</v>
      </c>
      <c r="AH30" s="18">
        <f>Vertailu[[#This Row],[Vaikuttavuusrahoitus 2021, €]]-Vertailu[[#This Row],[Vaikuttavuusrahoitus 2020, €]]</f>
        <v>-14312</v>
      </c>
      <c r="AI30" s="43">
        <f>IFERROR(Vertailu[[#This Row],[Vaikuttavuusrahoituksen muutos, €]]/Vertailu[[#This Row],[Vaikuttavuusrahoitus 2020, €]],0)</f>
        <v>-1.5833907707081558E-2</v>
      </c>
    </row>
    <row r="31" spans="1:35" ht="12.75" customHeight="1" x14ac:dyDescent="0.25">
      <c r="A31" s="22" t="s">
        <v>363</v>
      </c>
      <c r="B31" s="236" t="s">
        <v>36</v>
      </c>
      <c r="C31" s="142" t="s">
        <v>312</v>
      </c>
      <c r="D31" s="170" t="s">
        <v>392</v>
      </c>
      <c r="E31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0.73403664790596079</v>
      </c>
      <c r="F31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0.74123323614740722</v>
      </c>
      <c r="G31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0.18071832505645724</v>
      </c>
      <c r="H31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7.804843879613553E-2</v>
      </c>
      <c r="I31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5.7124838256679272E-2</v>
      </c>
      <c r="J31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4.0312888465836114E-3</v>
      </c>
      <c r="K31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1.6892311692872641E-2</v>
      </c>
      <c r="L31" s="18">
        <f>IFERROR(VLOOKUP(Vertailu[[#This Row],[Y-tunnus]],'Suoritepäätös 2020'!$Q:$AC,COLUMN('Suoritepäätös 2020'!L:L),FALSE)-VLOOKUP(Vertailu[[#This Row],[Y-tunnus]],'Suoritepäätös 2020'!$B:$N,COLUMN('Suoritepäätös 2020'!F:F),FALSE),0)</f>
        <v>3698667</v>
      </c>
      <c r="M31" s="18">
        <f>IFERROR(VLOOKUP(Vertailu[[#This Row],[Y-tunnus]],'1.2 Ohjaus-laskentataulu'!A:AY,COLUMN('1.2 Ohjaus-laskentataulu'!Z:Z),FALSE),0)</f>
        <v>4138642</v>
      </c>
      <c r="N31" s="18">
        <f>IFERROR(Vertailu[[#This Row],[Rahoitus pl. hark. kor. 2021 ilman alv, €]]-Vertailu[[#This Row],[Rahoitus pl. hark. kor. 2020 ilman alv, €]],0)</f>
        <v>439975</v>
      </c>
      <c r="O31" s="43">
        <f>IFERROR(Vertailu[[#This Row],[Muutos, € 1]]/Vertailu[[#This Row],[Rahoitus pl. hark. kor. 2020 ilman alv, €]],0)</f>
        <v>0.11895501811868979</v>
      </c>
      <c r="P31" s="135">
        <f>IFERROR(VLOOKUP(Vertailu[[#This Row],[Y-tunnus]],'Suoritepäätös 2020'!$Q:$AC,COLUMN('Suoritepäätös 2020'!L:L),FALSE),0)</f>
        <v>3818667</v>
      </c>
      <c r="Q31" s="138">
        <f>IFERROR(VLOOKUP(Vertailu[[#This Row],[Y-tunnus]],'1.2 Ohjaus-laskentataulu'!A:AY,COLUMN('1.2 Ohjaus-laskentataulu'!AV:AV),FALSE),0)</f>
        <v>4168642</v>
      </c>
      <c r="R31" s="18">
        <f>IFERROR(Vertailu[[#This Row],[Rahoitus ml. hark. kor. 
2021 ilman alv, €]]-Vertailu[[#This Row],[Rahoitus ml. hark. kor. 
2020 ilman alv, €]],0)</f>
        <v>349975</v>
      </c>
      <c r="S31" s="16">
        <f>IFERROR(Vertailu[[#This Row],[Muutos, € 2]]/Vertailu[[#This Row],[Rahoitus ml. hark. kor. 
2020 ilman alv, €]],0)</f>
        <v>9.1648473145210102E-2</v>
      </c>
      <c r="T31" s="138">
        <f>IFERROR(VLOOKUP(Vertailu[[#This Row],[Y-tunnus]],'Suoritepäätös 2020'!$Q:$AC,COLUMN('Suoritepäätös 2020'!L:L),FALSE)+VLOOKUP(Vertailu[[#This Row],[Y-tunnus]],'Suoritepäätös 2020'!$Q:$AC,COLUMN('Suoritepäätös 2020'!M:M),FALSE),0)</f>
        <v>4099828</v>
      </c>
      <c r="U31" s="135">
        <f>IFERROR(VLOOKUP(Vertailu[[#This Row],[Y-tunnus]],'1.2 Ohjaus-laskentataulu'!A:AY,COLUMN('1.2 Ohjaus-laskentataulu'!AX:AX),FALSE),0)</f>
        <v>4601291</v>
      </c>
      <c r="V31" s="141">
        <f>IFERROR(Vertailu[[#This Row],[Rahoitus ml. hark. kor. + alv 2021, €]]-Vertailu[[#This Row],[Rahoitus ml. hark. kor. + alv 2020, €]],0)</f>
        <v>501463</v>
      </c>
      <c r="W31" s="43">
        <f>IFERROR(Vertailu[[#This Row],[Muutos, € 3]]/Vertailu[[#This Row],[Rahoitus ml. hark. kor. + alv 2020, €]],0)</f>
        <v>0.12231317996754985</v>
      </c>
      <c r="X31" s="18">
        <f>IFERROR(VLOOKUP(Vertailu[[#This Row],[Y-tunnus]],'Suoritepäätös 2020'!$B:$N,COLUMN('Suoritepäätös 2020'!G:G),FALSE),0)</f>
        <v>3018396</v>
      </c>
      <c r="Y31" s="18">
        <f>IFERROR(VLOOKUP(Vertailu[[#This Row],[Y-tunnus]],'1.2 Ohjaus-laskentataulu'!A:AY,COLUMN('1.2 Ohjaus-laskentataulu'!AS:AS),FALSE),0)</f>
        <v>3089936</v>
      </c>
      <c r="Z31" s="18">
        <f>Vertailu[[#This Row],[Perusrahoitus 2021, €]]-Vertailu[[#This Row],[Perusrahoitus 2020, €]]</f>
        <v>71540</v>
      </c>
      <c r="AA31" s="43">
        <f>IFERROR(Vertailu[[#This Row],[Perusrahoituksen muutos, €]]/Vertailu[[#This Row],[Perusrahoitus 2020, €]],0)</f>
        <v>2.3701330110429512E-2</v>
      </c>
      <c r="AB31" s="18">
        <f>IFERROR(VLOOKUP(Vertailu[[#This Row],[Y-tunnus]],'Suoritepäätös 2020'!$B:$N,COLUMN('Suoritepäätös 2020'!M:M),FALSE),0)</f>
        <v>524108</v>
      </c>
      <c r="AC31" s="18">
        <f>IFERROR(VLOOKUP(Vertailu[[#This Row],[Y-tunnus]],'1.2 Ohjaus-laskentataulu'!A:AY,COLUMN('1.2 Ohjaus-laskentataulu'!O:O),FALSE),0)</f>
        <v>753350</v>
      </c>
      <c r="AD31" s="18">
        <f>Vertailu[[#This Row],[Suoritusrahoitus 2021, €]]-Vertailu[[#This Row],[Suoritusrahoitus 2020, €]]</f>
        <v>229242</v>
      </c>
      <c r="AE31" s="43">
        <f>IFERROR(Vertailu[[#This Row],[Suoritusrahoituksen muutos, €]]/Vertailu[[#This Row],[Suoritusrahoitus 2020, €]],0)</f>
        <v>0.43739458279591231</v>
      </c>
      <c r="AF31" s="18">
        <f>IFERROR(VLOOKUP(Vertailu[[#This Row],[Y-tunnus]],'Suoritepäätös 2020'!$Q:$AC,COLUMN('Suoritepäätös 2020'!K:K),FALSE),0)</f>
        <v>276163</v>
      </c>
      <c r="AG31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325356</v>
      </c>
      <c r="AH31" s="18">
        <f>Vertailu[[#This Row],[Vaikuttavuusrahoitus 2021, €]]-Vertailu[[#This Row],[Vaikuttavuusrahoitus 2020, €]]</f>
        <v>49193</v>
      </c>
      <c r="AI31" s="43">
        <f>IFERROR(Vertailu[[#This Row],[Vaikuttavuusrahoituksen muutos, €]]/Vertailu[[#This Row],[Vaikuttavuusrahoitus 2020, €]],0)</f>
        <v>0.17813030710124092</v>
      </c>
    </row>
    <row r="32" spans="1:35" ht="12.75" customHeight="1" x14ac:dyDescent="0.25">
      <c r="A32" s="22" t="s">
        <v>360</v>
      </c>
      <c r="B32" s="236" t="s">
        <v>37</v>
      </c>
      <c r="C32" s="142" t="s">
        <v>216</v>
      </c>
      <c r="D32" s="170" t="s">
        <v>392</v>
      </c>
      <c r="E32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0.68142346770397211</v>
      </c>
      <c r="F32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0.68142346770397211</v>
      </c>
      <c r="G32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0.20320173135582689</v>
      </c>
      <c r="H32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0.11537480094020101</v>
      </c>
      <c r="I32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8.1393080979246427E-2</v>
      </c>
      <c r="J32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1.0043072569542512E-2</v>
      </c>
      <c r="K32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2.393864739141207E-2</v>
      </c>
      <c r="L32" s="18">
        <f>IFERROR(VLOOKUP(Vertailu[[#This Row],[Y-tunnus]],'Suoritepäätös 2020'!$Q:$AC,COLUMN('Suoritepäätös 2020'!L:L),FALSE)-VLOOKUP(Vertailu[[#This Row],[Y-tunnus]],'Suoritepäätös 2020'!$B:$N,COLUMN('Suoritepäätös 2020'!F:F),FALSE),0)</f>
        <v>32528873</v>
      </c>
      <c r="M32" s="18">
        <f>IFERROR(VLOOKUP(Vertailu[[#This Row],[Y-tunnus]],'1.2 Ohjaus-laskentataulu'!A:AY,COLUMN('1.2 Ohjaus-laskentataulu'!Z:Z),FALSE),0)</f>
        <v>33455399</v>
      </c>
      <c r="N32" s="18">
        <f>IFERROR(Vertailu[[#This Row],[Rahoitus pl. hark. kor. 2021 ilman alv, €]]-Vertailu[[#This Row],[Rahoitus pl. hark. kor. 2020 ilman alv, €]],0)</f>
        <v>926526</v>
      </c>
      <c r="O32" s="43">
        <f>IFERROR(Vertailu[[#This Row],[Muutos, € 1]]/Vertailu[[#This Row],[Rahoitus pl. hark. kor. 2020 ilman alv, €]],0)</f>
        <v>2.8483187843612041E-2</v>
      </c>
      <c r="P32" s="135">
        <f>IFERROR(VLOOKUP(Vertailu[[#This Row],[Y-tunnus]],'Suoritepäätös 2020'!$Q:$AC,COLUMN('Suoritepäätös 2020'!L:L),FALSE),0)</f>
        <v>32628873</v>
      </c>
      <c r="Q32" s="138">
        <f>IFERROR(VLOOKUP(Vertailu[[#This Row],[Y-tunnus]],'1.2 Ohjaus-laskentataulu'!A:AY,COLUMN('1.2 Ohjaus-laskentataulu'!AV:AV),FALSE),0)</f>
        <v>33455399</v>
      </c>
      <c r="R32" s="18">
        <f>IFERROR(Vertailu[[#This Row],[Rahoitus ml. hark. kor. 
2021 ilman alv, €]]-Vertailu[[#This Row],[Rahoitus ml. hark. kor. 
2020 ilman alv, €]],0)</f>
        <v>826526</v>
      </c>
      <c r="S32" s="16">
        <f>IFERROR(Vertailu[[#This Row],[Muutos, € 2]]/Vertailu[[#This Row],[Rahoitus ml. hark. kor. 
2020 ilman alv, €]],0)</f>
        <v>2.5331123143603518E-2</v>
      </c>
      <c r="T32" s="138">
        <f>IFERROR(VLOOKUP(Vertailu[[#This Row],[Y-tunnus]],'Suoritepäätös 2020'!$Q:$AC,COLUMN('Suoritepäätös 2020'!L:L),FALSE)+VLOOKUP(Vertailu[[#This Row],[Y-tunnus]],'Suoritepäätös 2020'!$Q:$AC,COLUMN('Suoritepäätös 2020'!M:M),FALSE),0)</f>
        <v>34281064</v>
      </c>
      <c r="U32" s="135">
        <f>IFERROR(VLOOKUP(Vertailu[[#This Row],[Y-tunnus]],'1.2 Ohjaus-laskentataulu'!A:AY,COLUMN('1.2 Ohjaus-laskentataulu'!AX:AX),FALSE),0)</f>
        <v>35832449</v>
      </c>
      <c r="V32" s="141">
        <f>IFERROR(Vertailu[[#This Row],[Rahoitus ml. hark. kor. + alv 2021, €]]-Vertailu[[#This Row],[Rahoitus ml. hark. kor. + alv 2020, €]],0)</f>
        <v>1551385</v>
      </c>
      <c r="W32" s="43">
        <f>IFERROR(Vertailu[[#This Row],[Muutos, € 3]]/Vertailu[[#This Row],[Rahoitus ml. hark. kor. + alv 2020, €]],0)</f>
        <v>4.5254867235159327E-2</v>
      </c>
      <c r="X32" s="18">
        <f>IFERROR(VLOOKUP(Vertailu[[#This Row],[Y-tunnus]],'Suoritepäätös 2020'!$B:$N,COLUMN('Suoritepäätös 2020'!G:G),FALSE),0)</f>
        <v>21693080</v>
      </c>
      <c r="Y32" s="18">
        <f>IFERROR(VLOOKUP(Vertailu[[#This Row],[Y-tunnus]],'1.2 Ohjaus-laskentataulu'!A:AY,COLUMN('1.2 Ohjaus-laskentataulu'!AS:AS),FALSE),0)</f>
        <v>22797294</v>
      </c>
      <c r="Z32" s="18">
        <f>Vertailu[[#This Row],[Perusrahoitus 2021, €]]-Vertailu[[#This Row],[Perusrahoitus 2020, €]]</f>
        <v>1104214</v>
      </c>
      <c r="AA32" s="43">
        <f>IFERROR(Vertailu[[#This Row],[Perusrahoituksen muutos, €]]/Vertailu[[#This Row],[Perusrahoitus 2020, €]],0)</f>
        <v>5.0901670025648729E-2</v>
      </c>
      <c r="AB32" s="18">
        <f>IFERROR(VLOOKUP(Vertailu[[#This Row],[Y-tunnus]],'Suoritepäätös 2020'!$B:$N,COLUMN('Suoritepäätös 2020'!M:M),FALSE),0)</f>
        <v>7209555</v>
      </c>
      <c r="AC32" s="18">
        <f>IFERROR(VLOOKUP(Vertailu[[#This Row],[Y-tunnus]],'1.2 Ohjaus-laskentataulu'!A:AY,COLUMN('1.2 Ohjaus-laskentataulu'!O:O),FALSE),0)</f>
        <v>6798195</v>
      </c>
      <c r="AD32" s="18">
        <f>Vertailu[[#This Row],[Suoritusrahoitus 2021, €]]-Vertailu[[#This Row],[Suoritusrahoitus 2020, €]]</f>
        <v>-411360</v>
      </c>
      <c r="AE32" s="43">
        <f>IFERROR(Vertailu[[#This Row],[Suoritusrahoituksen muutos, €]]/Vertailu[[#This Row],[Suoritusrahoitus 2020, €]],0)</f>
        <v>-5.7057613125914154E-2</v>
      </c>
      <c r="AF32" s="18">
        <f>IFERROR(VLOOKUP(Vertailu[[#This Row],[Y-tunnus]],'Suoritepäätös 2020'!$Q:$AC,COLUMN('Suoritepäätös 2020'!K:K),FALSE),0)</f>
        <v>3726238</v>
      </c>
      <c r="AG32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3859910</v>
      </c>
      <c r="AH32" s="18">
        <f>Vertailu[[#This Row],[Vaikuttavuusrahoitus 2021, €]]-Vertailu[[#This Row],[Vaikuttavuusrahoitus 2020, €]]</f>
        <v>133672</v>
      </c>
      <c r="AI32" s="43">
        <f>IFERROR(Vertailu[[#This Row],[Vaikuttavuusrahoituksen muutos, €]]/Vertailu[[#This Row],[Vaikuttavuusrahoitus 2020, €]],0)</f>
        <v>3.5873178256461344E-2</v>
      </c>
    </row>
    <row r="33" spans="1:35" ht="12.75" customHeight="1" x14ac:dyDescent="0.25">
      <c r="A33" s="22" t="s">
        <v>359</v>
      </c>
      <c r="B33" s="236" t="s">
        <v>38</v>
      </c>
      <c r="C33" s="142" t="s">
        <v>312</v>
      </c>
      <c r="D33" s="170" t="s">
        <v>392</v>
      </c>
      <c r="E33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0.67227875707053197</v>
      </c>
      <c r="F33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0.68232956221540519</v>
      </c>
      <c r="G33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0.22537188397819577</v>
      </c>
      <c r="H33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9.229855380639905E-2</v>
      </c>
      <c r="I33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6.3695134958023647E-2</v>
      </c>
      <c r="J33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6.129818544439049E-3</v>
      </c>
      <c r="K33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2.2473600303936348E-2</v>
      </c>
      <c r="L33" s="18">
        <f>IFERROR(VLOOKUP(Vertailu[[#This Row],[Y-tunnus]],'Suoritepäätös 2020'!$Q:$AC,COLUMN('Suoritepäätös 2020'!L:L),FALSE)-VLOOKUP(Vertailu[[#This Row],[Y-tunnus]],'Suoritepäätös 2020'!$B:$N,COLUMN('Suoritepäätös 2020'!F:F),FALSE),0)</f>
        <v>5795429</v>
      </c>
      <c r="M33" s="18">
        <f>IFERROR(VLOOKUP(Vertailu[[#This Row],[Y-tunnus]],'1.2 Ohjaus-laskentataulu'!A:AY,COLUMN('1.2 Ohjaus-laskentataulu'!Z:Z),FALSE),0)</f>
        <v>5909671</v>
      </c>
      <c r="N33" s="18">
        <f>IFERROR(Vertailu[[#This Row],[Rahoitus pl. hark. kor. 2021 ilman alv, €]]-Vertailu[[#This Row],[Rahoitus pl. hark. kor. 2020 ilman alv, €]],0)</f>
        <v>114242</v>
      </c>
      <c r="O33" s="43">
        <f>IFERROR(Vertailu[[#This Row],[Muutos, € 1]]/Vertailu[[#This Row],[Rahoitus pl. hark. kor. 2020 ilman alv, €]],0)</f>
        <v>1.9712431987347269E-2</v>
      </c>
      <c r="P33" s="135">
        <f>IFERROR(VLOOKUP(Vertailu[[#This Row],[Y-tunnus]],'Suoritepäätös 2020'!$Q:$AC,COLUMN('Suoritepäätös 2020'!L:L),FALSE),0)</f>
        <v>5795429</v>
      </c>
      <c r="Q33" s="138">
        <f>IFERROR(VLOOKUP(Vertailu[[#This Row],[Y-tunnus]],'1.2 Ohjaus-laskentataulu'!A:AY,COLUMN('1.2 Ohjaus-laskentataulu'!AV:AV),FALSE),0)</f>
        <v>5969671</v>
      </c>
      <c r="R33" s="18">
        <f>IFERROR(Vertailu[[#This Row],[Rahoitus ml. hark. kor. 
2021 ilman alv, €]]-Vertailu[[#This Row],[Rahoitus ml. hark. kor. 
2020 ilman alv, €]],0)</f>
        <v>174242</v>
      </c>
      <c r="S33" s="16">
        <f>IFERROR(Vertailu[[#This Row],[Muutos, € 2]]/Vertailu[[#This Row],[Rahoitus ml. hark. kor. 
2020 ilman alv, €]],0)</f>
        <v>3.0065418798159722E-2</v>
      </c>
      <c r="T33" s="138">
        <f>IFERROR(VLOOKUP(Vertailu[[#This Row],[Y-tunnus]],'Suoritepäätös 2020'!$Q:$AC,COLUMN('Suoritepäätös 2020'!L:L),FALSE)+VLOOKUP(Vertailu[[#This Row],[Y-tunnus]],'Suoritepäätös 2020'!$Q:$AC,COLUMN('Suoritepäätös 2020'!M:M),FALSE),0)</f>
        <v>6205749</v>
      </c>
      <c r="U33" s="135">
        <f>IFERROR(VLOOKUP(Vertailu[[#This Row],[Y-tunnus]],'1.2 Ohjaus-laskentataulu'!A:AY,COLUMN('1.2 Ohjaus-laskentataulu'!AX:AX),FALSE),0)</f>
        <v>6463100</v>
      </c>
      <c r="V33" s="141">
        <f>IFERROR(Vertailu[[#This Row],[Rahoitus ml. hark. kor. + alv 2021, €]]-Vertailu[[#This Row],[Rahoitus ml. hark. kor. + alv 2020, €]],0)</f>
        <v>257351</v>
      </c>
      <c r="W33" s="43">
        <f>IFERROR(Vertailu[[#This Row],[Muutos, € 3]]/Vertailu[[#This Row],[Rahoitus ml. hark. kor. + alv 2020, €]],0)</f>
        <v>4.1469772625351106E-2</v>
      </c>
      <c r="X33" s="18">
        <f>IFERROR(VLOOKUP(Vertailu[[#This Row],[Y-tunnus]],'Suoritepäätös 2020'!$B:$N,COLUMN('Suoritepäätös 2020'!G:G),FALSE),0)</f>
        <v>3871610</v>
      </c>
      <c r="Y33" s="18">
        <f>IFERROR(VLOOKUP(Vertailu[[#This Row],[Y-tunnus]],'1.2 Ohjaus-laskentataulu'!A:AY,COLUMN('1.2 Ohjaus-laskentataulu'!AS:AS),FALSE),0)</f>
        <v>4073283</v>
      </c>
      <c r="Z33" s="18">
        <f>Vertailu[[#This Row],[Perusrahoitus 2021, €]]-Vertailu[[#This Row],[Perusrahoitus 2020, €]]</f>
        <v>201673</v>
      </c>
      <c r="AA33" s="43">
        <f>IFERROR(Vertailu[[#This Row],[Perusrahoituksen muutos, €]]/Vertailu[[#This Row],[Perusrahoitus 2020, €]],0)</f>
        <v>5.2090215698378711E-2</v>
      </c>
      <c r="AB33" s="18">
        <f>IFERROR(VLOOKUP(Vertailu[[#This Row],[Y-tunnus]],'Suoritepäätös 2020'!$B:$N,COLUMN('Suoritepäätös 2020'!M:M),FALSE),0)</f>
        <v>1312069</v>
      </c>
      <c r="AC33" s="18">
        <f>IFERROR(VLOOKUP(Vertailu[[#This Row],[Y-tunnus]],'1.2 Ohjaus-laskentataulu'!A:AY,COLUMN('1.2 Ohjaus-laskentataulu'!O:O),FALSE),0)</f>
        <v>1345396</v>
      </c>
      <c r="AD33" s="18">
        <f>Vertailu[[#This Row],[Suoritusrahoitus 2021, €]]-Vertailu[[#This Row],[Suoritusrahoitus 2020, €]]</f>
        <v>33327</v>
      </c>
      <c r="AE33" s="43">
        <f>IFERROR(Vertailu[[#This Row],[Suoritusrahoituksen muutos, €]]/Vertailu[[#This Row],[Suoritusrahoitus 2020, €]],0)</f>
        <v>2.5400340988164495E-2</v>
      </c>
      <c r="AF33" s="18">
        <f>IFERROR(VLOOKUP(Vertailu[[#This Row],[Y-tunnus]],'Suoritepäätös 2020'!$Q:$AC,COLUMN('Suoritepäätös 2020'!K:K),FALSE),0)</f>
        <v>611750</v>
      </c>
      <c r="AG33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550992</v>
      </c>
      <c r="AH33" s="18">
        <f>Vertailu[[#This Row],[Vaikuttavuusrahoitus 2021, €]]-Vertailu[[#This Row],[Vaikuttavuusrahoitus 2020, €]]</f>
        <v>-60758</v>
      </c>
      <c r="AI33" s="43">
        <f>IFERROR(Vertailu[[#This Row],[Vaikuttavuusrahoituksen muutos, €]]/Vertailu[[#This Row],[Vaikuttavuusrahoitus 2020, €]],0)</f>
        <v>-9.9318348998774009E-2</v>
      </c>
    </row>
    <row r="34" spans="1:35" ht="12.75" customHeight="1" x14ac:dyDescent="0.25">
      <c r="A34" s="22" t="s">
        <v>358</v>
      </c>
      <c r="B34" s="236" t="s">
        <v>39</v>
      </c>
      <c r="C34" s="142" t="s">
        <v>216</v>
      </c>
      <c r="D34" s="170" t="s">
        <v>392</v>
      </c>
      <c r="E34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0.86721090193932804</v>
      </c>
      <c r="F34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0.86721090193932804</v>
      </c>
      <c r="G34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0.11766325049765579</v>
      </c>
      <c r="H34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1.5125847563016152E-2</v>
      </c>
      <c r="I34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1.1278116132790041E-2</v>
      </c>
      <c r="J34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1.1296557766596502E-3</v>
      </c>
      <c r="K34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2.7180756535664609E-3</v>
      </c>
      <c r="L34" s="18">
        <f>IFERROR(VLOOKUP(Vertailu[[#This Row],[Y-tunnus]],'Suoritepäätös 2020'!$Q:$AC,COLUMN('Suoritepäätös 2020'!L:L),FALSE)-VLOOKUP(Vertailu[[#This Row],[Y-tunnus]],'Suoritepäätös 2020'!$B:$N,COLUMN('Suoritepäätös 2020'!F:F),FALSE),0)</f>
        <v>29435899</v>
      </c>
      <c r="M34" s="18">
        <f>IFERROR(VLOOKUP(Vertailu[[#This Row],[Y-tunnus]],'1.2 Ohjaus-laskentataulu'!A:AY,COLUMN('1.2 Ohjaus-laskentataulu'!Z:Z),FALSE),0)</f>
        <v>30745649</v>
      </c>
      <c r="N34" s="18">
        <f>IFERROR(Vertailu[[#This Row],[Rahoitus pl. hark. kor. 2021 ilman alv, €]]-Vertailu[[#This Row],[Rahoitus pl. hark. kor. 2020 ilman alv, €]],0)</f>
        <v>1309750</v>
      </c>
      <c r="O34" s="43">
        <f>IFERROR(Vertailu[[#This Row],[Muutos, € 1]]/Vertailu[[#This Row],[Rahoitus pl. hark. kor. 2020 ilman alv, €]],0)</f>
        <v>4.4494988924917836E-2</v>
      </c>
      <c r="P34" s="135">
        <f>IFERROR(VLOOKUP(Vertailu[[#This Row],[Y-tunnus]],'Suoritepäätös 2020'!$Q:$AC,COLUMN('Suoritepäätös 2020'!L:L),FALSE),0)</f>
        <v>29505899</v>
      </c>
      <c r="Q34" s="138">
        <f>IFERROR(VLOOKUP(Vertailu[[#This Row],[Y-tunnus]],'1.2 Ohjaus-laskentataulu'!A:AY,COLUMN('1.2 Ohjaus-laskentataulu'!AV:AV),FALSE),0)</f>
        <v>30745649</v>
      </c>
      <c r="R34" s="18">
        <f>IFERROR(Vertailu[[#This Row],[Rahoitus ml. hark. kor. 
2021 ilman alv, €]]-Vertailu[[#This Row],[Rahoitus ml. hark. kor. 
2020 ilman alv, €]],0)</f>
        <v>1239750</v>
      </c>
      <c r="S34" s="16">
        <f>IFERROR(Vertailu[[#This Row],[Muutos, € 2]]/Vertailu[[#This Row],[Rahoitus ml. hark. kor. 
2020 ilman alv, €]],0)</f>
        <v>4.2017021748769624E-2</v>
      </c>
      <c r="T34" s="138">
        <f>IFERROR(VLOOKUP(Vertailu[[#This Row],[Y-tunnus]],'Suoritepäätös 2020'!$Q:$AC,COLUMN('Suoritepäätös 2020'!L:L),FALSE)+VLOOKUP(Vertailu[[#This Row],[Y-tunnus]],'Suoritepäätös 2020'!$Q:$AC,COLUMN('Suoritepäätös 2020'!M:M),FALSE),0)</f>
        <v>30753465</v>
      </c>
      <c r="U34" s="135">
        <f>IFERROR(VLOOKUP(Vertailu[[#This Row],[Y-tunnus]],'1.2 Ohjaus-laskentataulu'!A:AY,COLUMN('1.2 Ohjaus-laskentataulu'!AX:AX),FALSE),0)</f>
        <v>31618392</v>
      </c>
      <c r="V34" s="141">
        <f>IFERROR(Vertailu[[#This Row],[Rahoitus ml. hark. kor. + alv 2021, €]]-Vertailu[[#This Row],[Rahoitus ml. hark. kor. + alv 2020, €]],0)</f>
        <v>864927</v>
      </c>
      <c r="W34" s="43">
        <f>IFERROR(Vertailu[[#This Row],[Muutos, € 3]]/Vertailu[[#This Row],[Rahoitus ml. hark. kor. + alv 2020, €]],0)</f>
        <v>2.8124538161797379E-2</v>
      </c>
      <c r="X34" s="18">
        <f>IFERROR(VLOOKUP(Vertailu[[#This Row],[Y-tunnus]],'Suoritepäätös 2020'!$B:$N,COLUMN('Suoritepäätös 2020'!G:G),FALSE),0)</f>
        <v>24831781</v>
      </c>
      <c r="Y34" s="18">
        <f>IFERROR(VLOOKUP(Vertailu[[#This Row],[Y-tunnus]],'1.2 Ohjaus-laskentataulu'!A:AY,COLUMN('1.2 Ohjaus-laskentataulu'!AS:AS),FALSE),0)</f>
        <v>26662962</v>
      </c>
      <c r="Z34" s="18">
        <f>Vertailu[[#This Row],[Perusrahoitus 2021, €]]-Vertailu[[#This Row],[Perusrahoitus 2020, €]]</f>
        <v>1831181</v>
      </c>
      <c r="AA34" s="43">
        <f>IFERROR(Vertailu[[#This Row],[Perusrahoituksen muutos, €]]/Vertailu[[#This Row],[Perusrahoitus 2020, €]],0)</f>
        <v>7.3743441922268879E-2</v>
      </c>
      <c r="AB34" s="18">
        <f>IFERROR(VLOOKUP(Vertailu[[#This Row],[Y-tunnus]],'Suoritepäätös 2020'!$B:$N,COLUMN('Suoritepäätös 2020'!M:M),FALSE),0)</f>
        <v>4148153</v>
      </c>
      <c r="AC34" s="18">
        <f>IFERROR(VLOOKUP(Vertailu[[#This Row],[Y-tunnus]],'1.2 Ohjaus-laskentataulu'!A:AY,COLUMN('1.2 Ohjaus-laskentataulu'!O:O),FALSE),0)</f>
        <v>3617633</v>
      </c>
      <c r="AD34" s="18">
        <f>Vertailu[[#This Row],[Suoritusrahoitus 2021, €]]-Vertailu[[#This Row],[Suoritusrahoitus 2020, €]]</f>
        <v>-530520</v>
      </c>
      <c r="AE34" s="43">
        <f>IFERROR(Vertailu[[#This Row],[Suoritusrahoituksen muutos, €]]/Vertailu[[#This Row],[Suoritusrahoitus 2020, €]],0)</f>
        <v>-0.12789306469650469</v>
      </c>
      <c r="AF34" s="18">
        <f>IFERROR(VLOOKUP(Vertailu[[#This Row],[Y-tunnus]],'Suoritepäätös 2020'!$Q:$AC,COLUMN('Suoritepäätös 2020'!K:K),FALSE),0)</f>
        <v>525965</v>
      </c>
      <c r="AG34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465054</v>
      </c>
      <c r="AH34" s="18">
        <f>Vertailu[[#This Row],[Vaikuttavuusrahoitus 2021, €]]-Vertailu[[#This Row],[Vaikuttavuusrahoitus 2020, €]]</f>
        <v>-60911</v>
      </c>
      <c r="AI34" s="43">
        <f>IFERROR(Vertailu[[#This Row],[Vaikuttavuusrahoituksen muutos, €]]/Vertailu[[#This Row],[Vaikuttavuusrahoitus 2020, €]],0)</f>
        <v>-0.11580808608937856</v>
      </c>
    </row>
    <row r="35" spans="1:35" ht="12.75" customHeight="1" x14ac:dyDescent="0.25">
      <c r="A35" s="22" t="s">
        <v>357</v>
      </c>
      <c r="B35" s="236" t="s">
        <v>40</v>
      </c>
      <c r="C35" s="142" t="s">
        <v>250</v>
      </c>
      <c r="D35" s="170" t="s">
        <v>392</v>
      </c>
      <c r="E35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0.64932610438700322</v>
      </c>
      <c r="F35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0.64932610438700322</v>
      </c>
      <c r="G35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0.23777251727692719</v>
      </c>
      <c r="H35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0.11290137833606964</v>
      </c>
      <c r="I35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6.6169676606467873E-2</v>
      </c>
      <c r="J35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8.6289183307242945E-3</v>
      </c>
      <c r="K35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3.8102783398877474E-2</v>
      </c>
      <c r="L35" s="18">
        <f>IFERROR(VLOOKUP(Vertailu[[#This Row],[Y-tunnus]],'Suoritepäätös 2020'!$Q:$AC,COLUMN('Suoritepäätös 2020'!L:L),FALSE)-VLOOKUP(Vertailu[[#This Row],[Y-tunnus]],'Suoritepäätös 2020'!$B:$N,COLUMN('Suoritepäätös 2020'!F:F),FALSE),0)</f>
        <v>526616</v>
      </c>
      <c r="M35" s="18">
        <f>IFERROR(VLOOKUP(Vertailu[[#This Row],[Y-tunnus]],'1.2 Ohjaus-laskentataulu'!A:AY,COLUMN('1.2 Ohjaus-laskentataulu'!Z:Z),FALSE),0)</f>
        <v>523820</v>
      </c>
      <c r="N35" s="18">
        <f>IFERROR(Vertailu[[#This Row],[Rahoitus pl. hark. kor. 2021 ilman alv, €]]-Vertailu[[#This Row],[Rahoitus pl. hark. kor. 2020 ilman alv, €]],0)</f>
        <v>-2796</v>
      </c>
      <c r="O35" s="43">
        <f>IFERROR(Vertailu[[#This Row],[Muutos, € 1]]/Vertailu[[#This Row],[Rahoitus pl. hark. kor. 2020 ilman alv, €]],0)</f>
        <v>-5.3093715344767348E-3</v>
      </c>
      <c r="P35" s="135">
        <f>IFERROR(VLOOKUP(Vertailu[[#This Row],[Y-tunnus]],'Suoritepäätös 2020'!$Q:$AC,COLUMN('Suoritepäätös 2020'!L:L),FALSE),0)</f>
        <v>536616</v>
      </c>
      <c r="Q35" s="138">
        <f>IFERROR(VLOOKUP(Vertailu[[#This Row],[Y-tunnus]],'1.2 Ohjaus-laskentataulu'!A:AY,COLUMN('1.2 Ohjaus-laskentataulu'!AV:AV),FALSE),0)</f>
        <v>523820</v>
      </c>
      <c r="R35" s="18">
        <f>IFERROR(Vertailu[[#This Row],[Rahoitus ml. hark. kor. 
2021 ilman alv, €]]-Vertailu[[#This Row],[Rahoitus ml. hark. kor. 
2020 ilman alv, €]],0)</f>
        <v>-12796</v>
      </c>
      <c r="S35" s="16">
        <f>IFERROR(Vertailu[[#This Row],[Muutos, € 2]]/Vertailu[[#This Row],[Rahoitus ml. hark. kor. 
2020 ilman alv, €]],0)</f>
        <v>-2.3845729534713835E-2</v>
      </c>
      <c r="T35" s="138">
        <f>IFERROR(VLOOKUP(Vertailu[[#This Row],[Y-tunnus]],'Suoritepäätös 2020'!$Q:$AC,COLUMN('Suoritepäätös 2020'!L:L),FALSE)+VLOOKUP(Vertailu[[#This Row],[Y-tunnus]],'Suoritepäätös 2020'!$Q:$AC,COLUMN('Suoritepäätös 2020'!M:M),FALSE),0)</f>
        <v>567431</v>
      </c>
      <c r="U35" s="135">
        <f>IFERROR(VLOOKUP(Vertailu[[#This Row],[Y-tunnus]],'1.2 Ohjaus-laskentataulu'!A:AY,COLUMN('1.2 Ohjaus-laskentataulu'!AX:AX),FALSE),0)</f>
        <v>558368</v>
      </c>
      <c r="V35" s="141">
        <f>IFERROR(Vertailu[[#This Row],[Rahoitus ml. hark. kor. + alv 2021, €]]-Vertailu[[#This Row],[Rahoitus ml. hark. kor. + alv 2020, €]],0)</f>
        <v>-9063</v>
      </c>
      <c r="W35" s="43">
        <f>IFERROR(Vertailu[[#This Row],[Muutos, € 3]]/Vertailu[[#This Row],[Rahoitus ml. hark. kor. + alv 2020, €]],0)</f>
        <v>-1.5971986021207866E-2</v>
      </c>
      <c r="X35" s="18">
        <f>IFERROR(VLOOKUP(Vertailu[[#This Row],[Y-tunnus]],'Suoritepäätös 2020'!$B:$N,COLUMN('Suoritepäätös 2020'!G:G),FALSE),0)</f>
        <v>336372</v>
      </c>
      <c r="Y35" s="18">
        <f>IFERROR(VLOOKUP(Vertailu[[#This Row],[Y-tunnus]],'1.2 Ohjaus-laskentataulu'!A:AY,COLUMN('1.2 Ohjaus-laskentataulu'!AS:AS),FALSE),0)</f>
        <v>340130</v>
      </c>
      <c r="Z35" s="18">
        <f>Vertailu[[#This Row],[Perusrahoitus 2021, €]]-Vertailu[[#This Row],[Perusrahoitus 2020, €]]</f>
        <v>3758</v>
      </c>
      <c r="AA35" s="43">
        <f>IFERROR(Vertailu[[#This Row],[Perusrahoituksen muutos, €]]/Vertailu[[#This Row],[Perusrahoitus 2020, €]],0)</f>
        <v>1.1172154638317101E-2</v>
      </c>
      <c r="AB35" s="18">
        <f>IFERROR(VLOOKUP(Vertailu[[#This Row],[Y-tunnus]],'Suoritepäätös 2020'!$B:$N,COLUMN('Suoritepäätös 2020'!M:M),FALSE),0)</f>
        <v>144865</v>
      </c>
      <c r="AC35" s="18">
        <f>IFERROR(VLOOKUP(Vertailu[[#This Row],[Y-tunnus]],'1.2 Ohjaus-laskentataulu'!A:AY,COLUMN('1.2 Ohjaus-laskentataulu'!O:O),FALSE),0)</f>
        <v>124550</v>
      </c>
      <c r="AD35" s="18">
        <f>Vertailu[[#This Row],[Suoritusrahoitus 2021, €]]-Vertailu[[#This Row],[Suoritusrahoitus 2020, €]]</f>
        <v>-20315</v>
      </c>
      <c r="AE35" s="43">
        <f>IFERROR(Vertailu[[#This Row],[Suoritusrahoituksen muutos, €]]/Vertailu[[#This Row],[Suoritusrahoitus 2020, €]],0)</f>
        <v>-0.14023401097573604</v>
      </c>
      <c r="AF35" s="18">
        <f>IFERROR(VLOOKUP(Vertailu[[#This Row],[Y-tunnus]],'Suoritepäätös 2020'!$Q:$AC,COLUMN('Suoritepäätös 2020'!K:K),FALSE),0)</f>
        <v>55379</v>
      </c>
      <c r="AG35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59140</v>
      </c>
      <c r="AH35" s="18">
        <f>Vertailu[[#This Row],[Vaikuttavuusrahoitus 2021, €]]-Vertailu[[#This Row],[Vaikuttavuusrahoitus 2020, €]]</f>
        <v>3761</v>
      </c>
      <c r="AI35" s="43">
        <f>IFERROR(Vertailu[[#This Row],[Vaikuttavuusrahoituksen muutos, €]]/Vertailu[[#This Row],[Vaikuttavuusrahoitus 2020, €]],0)</f>
        <v>6.791383015222377E-2</v>
      </c>
    </row>
    <row r="36" spans="1:35" ht="12.75" customHeight="1" x14ac:dyDescent="0.25">
      <c r="A36" s="22" t="s">
        <v>356</v>
      </c>
      <c r="B36" s="236" t="s">
        <v>41</v>
      </c>
      <c r="C36" s="142" t="s">
        <v>250</v>
      </c>
      <c r="D36" s="170" t="s">
        <v>391</v>
      </c>
      <c r="E36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0.63562074925417478</v>
      </c>
      <c r="F36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0.63562074925417478</v>
      </c>
      <c r="G36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0.25388829986485628</v>
      </c>
      <c r="H36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0.11049095088096898</v>
      </c>
      <c r="I36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8.6317498213811461E-2</v>
      </c>
      <c r="J36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4.2204409790674016E-3</v>
      </c>
      <c r="K36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1.9953011688090116E-2</v>
      </c>
      <c r="L36" s="18">
        <f>IFERROR(VLOOKUP(Vertailu[[#This Row],[Y-tunnus]],'Suoritepäätös 2020'!$Q:$AC,COLUMN('Suoritepäätös 2020'!L:L),FALSE)-VLOOKUP(Vertailu[[#This Row],[Y-tunnus]],'Suoritepäätös 2020'!$B:$N,COLUMN('Suoritepäätös 2020'!F:F),FALSE),0)</f>
        <v>14604254</v>
      </c>
      <c r="M36" s="18">
        <f>IFERROR(VLOOKUP(Vertailu[[#This Row],[Y-tunnus]],'1.2 Ohjaus-laskentataulu'!A:AY,COLUMN('1.2 Ohjaus-laskentataulu'!Z:Z),FALSE),0)</f>
        <v>14952229</v>
      </c>
      <c r="N36" s="18">
        <f>IFERROR(Vertailu[[#This Row],[Rahoitus pl. hark. kor. 2021 ilman alv, €]]-Vertailu[[#This Row],[Rahoitus pl. hark. kor. 2020 ilman alv, €]],0)</f>
        <v>347975</v>
      </c>
      <c r="O36" s="43">
        <f>IFERROR(Vertailu[[#This Row],[Muutos, € 1]]/Vertailu[[#This Row],[Rahoitus pl. hark. kor. 2020 ilman alv, €]],0)</f>
        <v>2.3826961651036746E-2</v>
      </c>
      <c r="P36" s="135">
        <f>IFERROR(VLOOKUP(Vertailu[[#This Row],[Y-tunnus]],'Suoritepäätös 2020'!$Q:$AC,COLUMN('Suoritepäätös 2020'!L:L),FALSE),0)</f>
        <v>14694254</v>
      </c>
      <c r="Q36" s="138">
        <f>IFERROR(VLOOKUP(Vertailu[[#This Row],[Y-tunnus]],'1.2 Ohjaus-laskentataulu'!A:AY,COLUMN('1.2 Ohjaus-laskentataulu'!AV:AV),FALSE),0)</f>
        <v>14952229</v>
      </c>
      <c r="R36" s="18">
        <f>IFERROR(Vertailu[[#This Row],[Rahoitus ml. hark. kor. 
2021 ilman alv, €]]-Vertailu[[#This Row],[Rahoitus ml. hark. kor. 
2020 ilman alv, €]],0)</f>
        <v>257975</v>
      </c>
      <c r="S36" s="16">
        <f>IFERROR(Vertailu[[#This Row],[Muutos, € 2]]/Vertailu[[#This Row],[Rahoitus ml. hark. kor. 
2020 ilman alv, €]],0)</f>
        <v>1.7556182164810818E-2</v>
      </c>
      <c r="T36" s="138">
        <f>IFERROR(VLOOKUP(Vertailu[[#This Row],[Y-tunnus]],'Suoritepäätös 2020'!$Q:$AC,COLUMN('Suoritepäätös 2020'!L:L),FALSE)+VLOOKUP(Vertailu[[#This Row],[Y-tunnus]],'Suoritepäätös 2020'!$Q:$AC,COLUMN('Suoritepäätös 2020'!M:M),FALSE),0)</f>
        <v>14694254</v>
      </c>
      <c r="U36" s="135">
        <f>IFERROR(VLOOKUP(Vertailu[[#This Row],[Y-tunnus]],'1.2 Ohjaus-laskentataulu'!A:AY,COLUMN('1.2 Ohjaus-laskentataulu'!AX:AX),FALSE),0)</f>
        <v>14952229</v>
      </c>
      <c r="V36" s="141">
        <f>IFERROR(Vertailu[[#This Row],[Rahoitus ml. hark. kor. + alv 2021, €]]-Vertailu[[#This Row],[Rahoitus ml. hark. kor. + alv 2020, €]],0)</f>
        <v>257975</v>
      </c>
      <c r="W36" s="43">
        <f>IFERROR(Vertailu[[#This Row],[Muutos, € 3]]/Vertailu[[#This Row],[Rahoitus ml. hark. kor. + alv 2020, €]],0)</f>
        <v>1.7556182164810818E-2</v>
      </c>
      <c r="X36" s="18">
        <f>IFERROR(VLOOKUP(Vertailu[[#This Row],[Y-tunnus]],'Suoritepäätös 2020'!$B:$N,COLUMN('Suoritepäätös 2020'!G:G),FALSE),0)</f>
        <v>9050771</v>
      </c>
      <c r="Y36" s="18">
        <f>IFERROR(VLOOKUP(Vertailu[[#This Row],[Y-tunnus]],'1.2 Ohjaus-laskentataulu'!A:AY,COLUMN('1.2 Ohjaus-laskentataulu'!AS:AS),FALSE),0)</f>
        <v>9503947</v>
      </c>
      <c r="Z36" s="18">
        <f>Vertailu[[#This Row],[Perusrahoitus 2021, €]]-Vertailu[[#This Row],[Perusrahoitus 2020, €]]</f>
        <v>453176</v>
      </c>
      <c r="AA36" s="43">
        <f>IFERROR(Vertailu[[#This Row],[Perusrahoituksen muutos, €]]/Vertailu[[#This Row],[Perusrahoitus 2020, €]],0)</f>
        <v>5.0070430463879816E-2</v>
      </c>
      <c r="AB36" s="18">
        <f>IFERROR(VLOOKUP(Vertailu[[#This Row],[Y-tunnus]],'Suoritepäätös 2020'!$B:$N,COLUMN('Suoritepäätös 2020'!M:M),FALSE),0)</f>
        <v>3603817</v>
      </c>
      <c r="AC36" s="18">
        <f>IFERROR(VLOOKUP(Vertailu[[#This Row],[Y-tunnus]],'1.2 Ohjaus-laskentataulu'!A:AY,COLUMN('1.2 Ohjaus-laskentataulu'!O:O),FALSE),0)</f>
        <v>3796196</v>
      </c>
      <c r="AD36" s="18">
        <f>Vertailu[[#This Row],[Suoritusrahoitus 2021, €]]-Vertailu[[#This Row],[Suoritusrahoitus 2020, €]]</f>
        <v>192379</v>
      </c>
      <c r="AE36" s="43">
        <f>IFERROR(Vertailu[[#This Row],[Suoritusrahoituksen muutos, €]]/Vertailu[[#This Row],[Suoritusrahoitus 2020, €]],0)</f>
        <v>5.3382011350742838E-2</v>
      </c>
      <c r="AF36" s="18">
        <f>IFERROR(VLOOKUP(Vertailu[[#This Row],[Y-tunnus]],'Suoritepäätös 2020'!$Q:$AC,COLUMN('Suoritepäätös 2020'!K:K),FALSE),0)</f>
        <v>2039666</v>
      </c>
      <c r="AG36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1652086</v>
      </c>
      <c r="AH36" s="18">
        <f>Vertailu[[#This Row],[Vaikuttavuusrahoitus 2021, €]]-Vertailu[[#This Row],[Vaikuttavuusrahoitus 2020, €]]</f>
        <v>-387580</v>
      </c>
      <c r="AI36" s="43">
        <f>IFERROR(Vertailu[[#This Row],[Vaikuttavuusrahoituksen muutos, €]]/Vertailu[[#This Row],[Vaikuttavuusrahoitus 2020, €]],0)</f>
        <v>-0.19002130741013479</v>
      </c>
    </row>
    <row r="37" spans="1:35" ht="12.75" customHeight="1" x14ac:dyDescent="0.25">
      <c r="A37" s="22" t="s">
        <v>355</v>
      </c>
      <c r="B37" s="236" t="s">
        <v>42</v>
      </c>
      <c r="C37" s="142" t="s">
        <v>295</v>
      </c>
      <c r="D37" s="170" t="s">
        <v>392</v>
      </c>
      <c r="E37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0.59060221120944656</v>
      </c>
      <c r="F37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0.59060221120944656</v>
      </c>
      <c r="G37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0.2197385671434135</v>
      </c>
      <c r="H37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0.18965922164713997</v>
      </c>
      <c r="I37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9.6873448541368756E-2</v>
      </c>
      <c r="J37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2.5183053538143214E-2</v>
      </c>
      <c r="K37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6.7602719567627992E-2</v>
      </c>
      <c r="L37" s="18">
        <f>IFERROR(VLOOKUP(Vertailu[[#This Row],[Y-tunnus]],'Suoritepäätös 2020'!$Q:$AC,COLUMN('Suoritepäätös 2020'!L:L),FALSE)-VLOOKUP(Vertailu[[#This Row],[Y-tunnus]],'Suoritepäätös 2020'!$B:$N,COLUMN('Suoritepäätös 2020'!F:F),FALSE),0)</f>
        <v>639076</v>
      </c>
      <c r="M37" s="18">
        <f>IFERROR(VLOOKUP(Vertailu[[#This Row],[Y-tunnus]],'1.2 Ohjaus-laskentataulu'!A:AY,COLUMN('1.2 Ohjaus-laskentataulu'!Z:Z),FALSE),0)</f>
        <v>672754</v>
      </c>
      <c r="N37" s="18">
        <f>IFERROR(Vertailu[[#This Row],[Rahoitus pl. hark. kor. 2021 ilman alv, €]]-Vertailu[[#This Row],[Rahoitus pl. hark. kor. 2020 ilman alv, €]],0)</f>
        <v>33678</v>
      </c>
      <c r="O37" s="43">
        <f>IFERROR(Vertailu[[#This Row],[Muutos, € 1]]/Vertailu[[#This Row],[Rahoitus pl. hark. kor. 2020 ilman alv, €]],0)</f>
        <v>5.2697957676395298E-2</v>
      </c>
      <c r="P37" s="135">
        <f>IFERROR(VLOOKUP(Vertailu[[#This Row],[Y-tunnus]],'Suoritepäätös 2020'!$Q:$AC,COLUMN('Suoritepäätös 2020'!L:L),FALSE),0)</f>
        <v>649076</v>
      </c>
      <c r="Q37" s="138">
        <f>IFERROR(VLOOKUP(Vertailu[[#This Row],[Y-tunnus]],'1.2 Ohjaus-laskentataulu'!A:AY,COLUMN('1.2 Ohjaus-laskentataulu'!AV:AV),FALSE),0)</f>
        <v>672754</v>
      </c>
      <c r="R37" s="18">
        <f>IFERROR(Vertailu[[#This Row],[Rahoitus ml. hark. kor. 
2021 ilman alv, €]]-Vertailu[[#This Row],[Rahoitus ml. hark. kor. 
2020 ilman alv, €]],0)</f>
        <v>23678</v>
      </c>
      <c r="S37" s="16">
        <f>IFERROR(Vertailu[[#This Row],[Muutos, € 2]]/Vertailu[[#This Row],[Rahoitus ml. hark. kor. 
2020 ilman alv, €]],0)</f>
        <v>3.6479549390210086E-2</v>
      </c>
      <c r="T37" s="138">
        <f>IFERROR(VLOOKUP(Vertailu[[#This Row],[Y-tunnus]],'Suoritepäätös 2020'!$Q:$AC,COLUMN('Suoritepäätös 2020'!L:L),FALSE)+VLOOKUP(Vertailu[[#This Row],[Y-tunnus]],'Suoritepäätös 2020'!$Q:$AC,COLUMN('Suoritepäätös 2020'!M:M),FALSE),0)</f>
        <v>670784</v>
      </c>
      <c r="U37" s="135">
        <f>IFERROR(VLOOKUP(Vertailu[[#This Row],[Y-tunnus]],'1.2 Ohjaus-laskentataulu'!A:AY,COLUMN('1.2 Ohjaus-laskentataulu'!AX:AX),FALSE),0)</f>
        <v>689652</v>
      </c>
      <c r="V37" s="141">
        <f>IFERROR(Vertailu[[#This Row],[Rahoitus ml. hark. kor. + alv 2021, €]]-Vertailu[[#This Row],[Rahoitus ml. hark. kor. + alv 2020, €]],0)</f>
        <v>18868</v>
      </c>
      <c r="W37" s="43">
        <f>IFERROR(Vertailu[[#This Row],[Muutos, € 3]]/Vertailu[[#This Row],[Rahoitus ml. hark. kor. + alv 2020, €]],0)</f>
        <v>2.8128279744299208E-2</v>
      </c>
      <c r="X37" s="18">
        <f>IFERROR(VLOOKUP(Vertailu[[#This Row],[Y-tunnus]],'Suoritepäätös 2020'!$B:$N,COLUMN('Suoritepäätös 2020'!G:G),FALSE),0)</f>
        <v>382406</v>
      </c>
      <c r="Y37" s="18">
        <f>IFERROR(VLOOKUP(Vertailu[[#This Row],[Y-tunnus]],'1.2 Ohjaus-laskentataulu'!A:AY,COLUMN('1.2 Ohjaus-laskentataulu'!AS:AS),FALSE),0)</f>
        <v>397330</v>
      </c>
      <c r="Z37" s="18">
        <f>Vertailu[[#This Row],[Perusrahoitus 2021, €]]-Vertailu[[#This Row],[Perusrahoitus 2020, €]]</f>
        <v>14924</v>
      </c>
      <c r="AA37" s="43">
        <f>IFERROR(Vertailu[[#This Row],[Perusrahoituksen muutos, €]]/Vertailu[[#This Row],[Perusrahoitus 2020, €]],0)</f>
        <v>3.9026584310915623E-2</v>
      </c>
      <c r="AB37" s="18">
        <f>IFERROR(VLOOKUP(Vertailu[[#This Row],[Y-tunnus]],'Suoritepäätös 2020'!$B:$N,COLUMN('Suoritepäätös 2020'!M:M),FALSE),0)</f>
        <v>131035</v>
      </c>
      <c r="AC37" s="18">
        <f>IFERROR(VLOOKUP(Vertailu[[#This Row],[Y-tunnus]],'1.2 Ohjaus-laskentataulu'!A:AY,COLUMN('1.2 Ohjaus-laskentataulu'!O:O),FALSE),0)</f>
        <v>147830</v>
      </c>
      <c r="AD37" s="18">
        <f>Vertailu[[#This Row],[Suoritusrahoitus 2021, €]]-Vertailu[[#This Row],[Suoritusrahoitus 2020, €]]</f>
        <v>16795</v>
      </c>
      <c r="AE37" s="43">
        <f>IFERROR(Vertailu[[#This Row],[Suoritusrahoituksen muutos, €]]/Vertailu[[#This Row],[Suoritusrahoitus 2020, €]],0)</f>
        <v>0.12817186247949022</v>
      </c>
      <c r="AF37" s="18">
        <f>IFERROR(VLOOKUP(Vertailu[[#This Row],[Y-tunnus]],'Suoritepäätös 2020'!$Q:$AC,COLUMN('Suoritepäätös 2020'!K:K),FALSE),0)</f>
        <v>135635</v>
      </c>
      <c r="AG37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127594</v>
      </c>
      <c r="AH37" s="18">
        <f>Vertailu[[#This Row],[Vaikuttavuusrahoitus 2021, €]]-Vertailu[[#This Row],[Vaikuttavuusrahoitus 2020, €]]</f>
        <v>-8041</v>
      </c>
      <c r="AI37" s="43">
        <f>IFERROR(Vertailu[[#This Row],[Vaikuttavuusrahoituksen muutos, €]]/Vertailu[[#This Row],[Vaikuttavuusrahoitus 2020, €]],0)</f>
        <v>-5.9284108084196555E-2</v>
      </c>
    </row>
    <row r="38" spans="1:35" ht="12.75" customHeight="1" x14ac:dyDescent="0.25">
      <c r="A38" s="22" t="s">
        <v>352</v>
      </c>
      <c r="B38" s="236" t="s">
        <v>43</v>
      </c>
      <c r="C38" s="142" t="s">
        <v>295</v>
      </c>
      <c r="D38" s="170" t="s">
        <v>393</v>
      </c>
      <c r="E38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0.65351230938465765</v>
      </c>
      <c r="F38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0.65351230938465765</v>
      </c>
      <c r="G38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0.25947408315413295</v>
      </c>
      <c r="H38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8.7013607461209411E-2</v>
      </c>
      <c r="I38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7.3356496064946861E-2</v>
      </c>
      <c r="J38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5.1790661572189717E-3</v>
      </c>
      <c r="K38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8.4780452390435836E-3</v>
      </c>
      <c r="L38" s="18">
        <f>IFERROR(VLOOKUP(Vertailu[[#This Row],[Y-tunnus]],'Suoritepäätös 2020'!$Q:$AC,COLUMN('Suoritepäätös 2020'!L:L),FALSE)-VLOOKUP(Vertailu[[#This Row],[Y-tunnus]],'Suoritepäätös 2020'!$B:$N,COLUMN('Suoritepäätös 2020'!F:F),FALSE),0)</f>
        <v>982159</v>
      </c>
      <c r="M38" s="18">
        <f>IFERROR(VLOOKUP(Vertailu[[#This Row],[Y-tunnus]],'1.2 Ohjaus-laskentataulu'!A:AY,COLUMN('1.2 Ohjaus-laskentataulu'!Z:Z),FALSE),0)</f>
        <v>906341</v>
      </c>
      <c r="N38" s="18">
        <f>IFERROR(Vertailu[[#This Row],[Rahoitus pl. hark. kor. 2021 ilman alv, €]]-Vertailu[[#This Row],[Rahoitus pl. hark. kor. 2020 ilman alv, €]],0)</f>
        <v>-75818</v>
      </c>
      <c r="O38" s="43">
        <f>IFERROR(Vertailu[[#This Row],[Muutos, € 1]]/Vertailu[[#This Row],[Rahoitus pl. hark. kor. 2020 ilman alv, €]],0)</f>
        <v>-7.7195240281868818E-2</v>
      </c>
      <c r="P38" s="135">
        <f>IFERROR(VLOOKUP(Vertailu[[#This Row],[Y-tunnus]],'Suoritepäätös 2020'!$Q:$AC,COLUMN('Suoritepäätös 2020'!L:L),FALSE),0)</f>
        <v>982159</v>
      </c>
      <c r="Q38" s="138">
        <f>IFERROR(VLOOKUP(Vertailu[[#This Row],[Y-tunnus]],'1.2 Ohjaus-laskentataulu'!A:AY,COLUMN('1.2 Ohjaus-laskentataulu'!AV:AV),FALSE),0)</f>
        <v>906341</v>
      </c>
      <c r="R38" s="18">
        <f>IFERROR(Vertailu[[#This Row],[Rahoitus ml. hark. kor. 
2021 ilman alv, €]]-Vertailu[[#This Row],[Rahoitus ml. hark. kor. 
2020 ilman alv, €]],0)</f>
        <v>-75818</v>
      </c>
      <c r="S38" s="16">
        <f>IFERROR(Vertailu[[#This Row],[Muutos, € 2]]/Vertailu[[#This Row],[Rahoitus ml. hark. kor. 
2020 ilman alv, €]],0)</f>
        <v>-7.7195240281868818E-2</v>
      </c>
      <c r="T38" s="138">
        <f>IFERROR(VLOOKUP(Vertailu[[#This Row],[Y-tunnus]],'Suoritepäätös 2020'!$Q:$AC,COLUMN('Suoritepäätös 2020'!L:L),FALSE)+VLOOKUP(Vertailu[[#This Row],[Y-tunnus]],'Suoritepäätös 2020'!$Q:$AC,COLUMN('Suoritepäätös 2020'!M:M),FALSE),0)</f>
        <v>982159</v>
      </c>
      <c r="U38" s="135">
        <f>IFERROR(VLOOKUP(Vertailu[[#This Row],[Y-tunnus]],'1.2 Ohjaus-laskentataulu'!A:AY,COLUMN('1.2 Ohjaus-laskentataulu'!AX:AX),FALSE),0)</f>
        <v>906341</v>
      </c>
      <c r="V38" s="141">
        <f>IFERROR(Vertailu[[#This Row],[Rahoitus ml. hark. kor. + alv 2021, €]]-Vertailu[[#This Row],[Rahoitus ml. hark. kor. + alv 2020, €]],0)</f>
        <v>-75818</v>
      </c>
      <c r="W38" s="43">
        <f>IFERROR(Vertailu[[#This Row],[Muutos, € 3]]/Vertailu[[#This Row],[Rahoitus ml. hark. kor. + alv 2020, €]],0)</f>
        <v>-7.7195240281868818E-2</v>
      </c>
      <c r="X38" s="18">
        <f>IFERROR(VLOOKUP(Vertailu[[#This Row],[Y-tunnus]],'Suoritepäätös 2020'!$B:$N,COLUMN('Suoritepäätös 2020'!G:G),FALSE),0)</f>
        <v>637989</v>
      </c>
      <c r="Y38" s="18">
        <f>IFERROR(VLOOKUP(Vertailu[[#This Row],[Y-tunnus]],'1.2 Ohjaus-laskentataulu'!A:AY,COLUMN('1.2 Ohjaus-laskentataulu'!AS:AS),FALSE),0)</f>
        <v>592305</v>
      </c>
      <c r="Z38" s="18">
        <f>Vertailu[[#This Row],[Perusrahoitus 2021, €]]-Vertailu[[#This Row],[Perusrahoitus 2020, €]]</f>
        <v>-45684</v>
      </c>
      <c r="AA38" s="43">
        <f>IFERROR(Vertailu[[#This Row],[Perusrahoituksen muutos, €]]/Vertailu[[#This Row],[Perusrahoitus 2020, €]],0)</f>
        <v>-7.1606250264502999E-2</v>
      </c>
      <c r="AB38" s="18">
        <f>IFERROR(VLOOKUP(Vertailu[[#This Row],[Y-tunnus]],'Suoritepäätös 2020'!$B:$N,COLUMN('Suoritepäätös 2020'!M:M),FALSE),0)</f>
        <v>255131</v>
      </c>
      <c r="AC38" s="18">
        <f>IFERROR(VLOOKUP(Vertailu[[#This Row],[Y-tunnus]],'1.2 Ohjaus-laskentataulu'!A:AY,COLUMN('1.2 Ohjaus-laskentataulu'!O:O),FALSE),0)</f>
        <v>235172</v>
      </c>
      <c r="AD38" s="18">
        <f>Vertailu[[#This Row],[Suoritusrahoitus 2021, €]]-Vertailu[[#This Row],[Suoritusrahoitus 2020, €]]</f>
        <v>-19959</v>
      </c>
      <c r="AE38" s="43">
        <f>IFERROR(Vertailu[[#This Row],[Suoritusrahoituksen muutos, €]]/Vertailu[[#This Row],[Suoritusrahoitus 2020, €]],0)</f>
        <v>-7.8230399285073152E-2</v>
      </c>
      <c r="AF38" s="18">
        <f>IFERROR(VLOOKUP(Vertailu[[#This Row],[Y-tunnus]],'Suoritepäätös 2020'!$Q:$AC,COLUMN('Suoritepäätös 2020'!K:K),FALSE),0)</f>
        <v>89039</v>
      </c>
      <c r="AG38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78864</v>
      </c>
      <c r="AH38" s="18">
        <f>Vertailu[[#This Row],[Vaikuttavuusrahoitus 2021, €]]-Vertailu[[#This Row],[Vaikuttavuusrahoitus 2020, €]]</f>
        <v>-10175</v>
      </c>
      <c r="AI38" s="43">
        <f>IFERROR(Vertailu[[#This Row],[Vaikuttavuusrahoituksen muutos, €]]/Vertailu[[#This Row],[Vaikuttavuusrahoitus 2020, €]],0)</f>
        <v>-0.1142757667988185</v>
      </c>
    </row>
    <row r="39" spans="1:35" ht="12.75" customHeight="1" x14ac:dyDescent="0.25">
      <c r="A39" s="22" t="s">
        <v>351</v>
      </c>
      <c r="B39" s="236" t="s">
        <v>44</v>
      </c>
      <c r="C39" s="142" t="s">
        <v>224</v>
      </c>
      <c r="D39" s="170" t="s">
        <v>391</v>
      </c>
      <c r="E39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0.68442222885734572</v>
      </c>
      <c r="F39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0.68690862419008336</v>
      </c>
      <c r="G39" s="43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0.19986572754804552</v>
      </c>
      <c r="H39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0.11322564826187113</v>
      </c>
      <c r="I39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8.7246262468295796E-2</v>
      </c>
      <c r="J39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6.2641533614324419E-3</v>
      </c>
      <c r="K39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1.9715232432142897E-2</v>
      </c>
      <c r="L39" s="18">
        <f>IFERROR(VLOOKUP(Vertailu[[#This Row],[Y-tunnus]],'Suoritepäätös 2020'!$Q:$AC,COLUMN('Suoritepäätös 2020'!L:L),FALSE)-VLOOKUP(Vertailu[[#This Row],[Y-tunnus]],'Suoritepäätös 2020'!$B:$N,COLUMN('Suoritepäätös 2020'!F:F),FALSE),0)</f>
        <v>28780522</v>
      </c>
      <c r="M39" s="18">
        <f>IFERROR(VLOOKUP(Vertailu[[#This Row],[Y-tunnus]],'1.2 Ohjaus-laskentataulu'!A:AY,COLUMN('1.2 Ohjaus-laskentataulu'!Z:Z),FALSE),0)</f>
        <v>28083206</v>
      </c>
      <c r="N39" s="18">
        <f>IFERROR(Vertailu[[#This Row],[Rahoitus pl. hark. kor. 2021 ilman alv, €]]-Vertailu[[#This Row],[Rahoitus pl. hark. kor. 2020 ilman alv, €]],0)</f>
        <v>-697316</v>
      </c>
      <c r="O39" s="43">
        <f>IFERROR(Vertailu[[#This Row],[Muutos, € 1]]/Vertailu[[#This Row],[Rahoitus pl. hark. kor. 2020 ilman alv, €]],0)</f>
        <v>-2.4228747484149174E-2</v>
      </c>
      <c r="P39" s="135">
        <f>IFERROR(VLOOKUP(Vertailu[[#This Row],[Y-tunnus]],'Suoritepäätös 2020'!$Q:$AC,COLUMN('Suoritepäätös 2020'!L:L),FALSE),0)</f>
        <v>28780522</v>
      </c>
      <c r="Q39" s="138">
        <f>IFERROR(VLOOKUP(Vertailu[[#This Row],[Y-tunnus]],'1.2 Ohjaus-laskentataulu'!A:AY,COLUMN('1.2 Ohjaus-laskentataulu'!AV:AV),FALSE),0)</f>
        <v>28153206</v>
      </c>
      <c r="R39" s="18">
        <f>IFERROR(Vertailu[[#This Row],[Rahoitus ml. hark. kor. 
2021 ilman alv, €]]-Vertailu[[#This Row],[Rahoitus ml. hark. kor. 
2020 ilman alv, €]],0)</f>
        <v>-627316</v>
      </c>
      <c r="S39" s="16">
        <f>IFERROR(Vertailu[[#This Row],[Muutos, € 2]]/Vertailu[[#This Row],[Rahoitus ml. hark. kor. 
2020 ilman alv, €]],0)</f>
        <v>-2.179654698410265E-2</v>
      </c>
      <c r="T39" s="138">
        <f>IFERROR(VLOOKUP(Vertailu[[#This Row],[Y-tunnus]],'Suoritepäätös 2020'!$Q:$AC,COLUMN('Suoritepäätös 2020'!L:L),FALSE)+VLOOKUP(Vertailu[[#This Row],[Y-tunnus]],'Suoritepäätös 2020'!$Q:$AC,COLUMN('Suoritepäätös 2020'!M:M),FALSE),0)</f>
        <v>28780522</v>
      </c>
      <c r="U39" s="135">
        <f>IFERROR(VLOOKUP(Vertailu[[#This Row],[Y-tunnus]],'1.2 Ohjaus-laskentataulu'!A:AY,COLUMN('1.2 Ohjaus-laskentataulu'!AX:AX),FALSE),0)</f>
        <v>28153206</v>
      </c>
      <c r="V39" s="141">
        <f>IFERROR(Vertailu[[#This Row],[Rahoitus ml. hark. kor. + alv 2021, €]]-Vertailu[[#This Row],[Rahoitus ml. hark. kor. + alv 2020, €]],0)</f>
        <v>-627316</v>
      </c>
      <c r="W39" s="43">
        <f>IFERROR(Vertailu[[#This Row],[Muutos, € 3]]/Vertailu[[#This Row],[Rahoitus ml. hark. kor. + alv 2020, €]],0)</f>
        <v>-2.179654698410265E-2</v>
      </c>
      <c r="X39" s="18">
        <f>IFERROR(VLOOKUP(Vertailu[[#This Row],[Y-tunnus]],'Suoritepäätös 2020'!$B:$N,COLUMN('Suoritepäätös 2020'!G:G),FALSE),0)</f>
        <v>19846724</v>
      </c>
      <c r="Y39" s="18">
        <f>IFERROR(VLOOKUP(Vertailu[[#This Row],[Y-tunnus]],'1.2 Ohjaus-laskentataulu'!A:AY,COLUMN('1.2 Ohjaus-laskentataulu'!AS:AS),FALSE),0)</f>
        <v>19338680</v>
      </c>
      <c r="Z39" s="18">
        <f>Vertailu[[#This Row],[Perusrahoitus 2021, €]]-Vertailu[[#This Row],[Perusrahoitus 2020, €]]</f>
        <v>-508044</v>
      </c>
      <c r="AA39" s="43">
        <f>IFERROR(Vertailu[[#This Row],[Perusrahoituksen muutos, €]]/Vertailu[[#This Row],[Perusrahoitus 2020, €]],0)</f>
        <v>-2.5598380871321633E-2</v>
      </c>
      <c r="AB39" s="18">
        <f>IFERROR(VLOOKUP(Vertailu[[#This Row],[Y-tunnus]],'Suoritepäätös 2020'!$B:$N,COLUMN('Suoritepäätös 2020'!M:M),FALSE),0)</f>
        <v>5971777</v>
      </c>
      <c r="AC39" s="18">
        <f>IFERROR(VLOOKUP(Vertailu[[#This Row],[Y-tunnus]],'1.2 Ohjaus-laskentataulu'!A:AY,COLUMN('1.2 Ohjaus-laskentataulu'!O:O),FALSE),0)</f>
        <v>5626861</v>
      </c>
      <c r="AD39" s="18">
        <f>Vertailu[[#This Row],[Suoritusrahoitus 2021, €]]-Vertailu[[#This Row],[Suoritusrahoitus 2020, €]]</f>
        <v>-344916</v>
      </c>
      <c r="AE39" s="43">
        <f>IFERROR(Vertailu[[#This Row],[Suoritusrahoituksen muutos, €]]/Vertailu[[#This Row],[Suoritusrahoitus 2020, €]],0)</f>
        <v>-5.7757682512257241E-2</v>
      </c>
      <c r="AF39" s="18">
        <f>IFERROR(VLOOKUP(Vertailu[[#This Row],[Y-tunnus]],'Suoritepäätös 2020'!$Q:$AC,COLUMN('Suoritepäätös 2020'!K:K),FALSE),0)</f>
        <v>2962021</v>
      </c>
      <c r="AG39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3187665</v>
      </c>
      <c r="AH39" s="18">
        <f>Vertailu[[#This Row],[Vaikuttavuusrahoitus 2021, €]]-Vertailu[[#This Row],[Vaikuttavuusrahoitus 2020, €]]</f>
        <v>225644</v>
      </c>
      <c r="AI39" s="43">
        <f>IFERROR(Vertailu[[#This Row],[Vaikuttavuusrahoituksen muutos, €]]/Vertailu[[#This Row],[Vaikuttavuusrahoitus 2020, €]],0)</f>
        <v>7.6179068278043938E-2</v>
      </c>
    </row>
    <row r="40" spans="1:35" ht="12.75" customHeight="1" x14ac:dyDescent="0.25">
      <c r="A40" s="22" t="s">
        <v>350</v>
      </c>
      <c r="B40" s="236" t="s">
        <v>45</v>
      </c>
      <c r="C40" s="142" t="s">
        <v>216</v>
      </c>
      <c r="D40" s="170" t="s">
        <v>392</v>
      </c>
      <c r="E40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0.52905301524047288</v>
      </c>
      <c r="F40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0.53968540874110338</v>
      </c>
      <c r="G40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0.209814337144692</v>
      </c>
      <c r="H40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0.25050025411420468</v>
      </c>
      <c r="I40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0.14130876258077962</v>
      </c>
      <c r="J40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2.0285543559852931E-2</v>
      </c>
      <c r="K40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8.8905947973572125E-2</v>
      </c>
      <c r="L40" s="18">
        <f>IFERROR(VLOOKUP(Vertailu[[#This Row],[Y-tunnus]],'Suoritepäätös 2020'!$Q:$AC,COLUMN('Suoritepäätös 2020'!L:L),FALSE)-VLOOKUP(Vertailu[[#This Row],[Y-tunnus]],'Suoritepäätös 2020'!$B:$N,COLUMN('Suoritepäätös 2020'!F:F),FALSE),0)</f>
        <v>975185</v>
      </c>
      <c r="M40" s="18">
        <f>IFERROR(VLOOKUP(Vertailu[[#This Row],[Y-tunnus]],'1.2 Ohjaus-laskentataulu'!A:AY,COLUMN('1.2 Ohjaus-laskentataulu'!Z:Z),FALSE),0)</f>
        <v>930522</v>
      </c>
      <c r="N40" s="18">
        <f>IFERROR(Vertailu[[#This Row],[Rahoitus pl. hark. kor. 2021 ilman alv, €]]-Vertailu[[#This Row],[Rahoitus pl. hark. kor. 2020 ilman alv, €]],0)</f>
        <v>-44663</v>
      </c>
      <c r="O40" s="43">
        <f>IFERROR(Vertailu[[#This Row],[Muutos, € 1]]/Vertailu[[#This Row],[Rahoitus pl. hark. kor. 2020 ilman alv, €]],0)</f>
        <v>-4.5799514963827379E-2</v>
      </c>
      <c r="P40" s="135">
        <f>IFERROR(VLOOKUP(Vertailu[[#This Row],[Y-tunnus]],'Suoritepäätös 2020'!$Q:$AC,COLUMN('Suoritepäätös 2020'!L:L),FALSE),0)</f>
        <v>975185</v>
      </c>
      <c r="Q40" s="138">
        <f>IFERROR(VLOOKUP(Vertailu[[#This Row],[Y-tunnus]],'1.2 Ohjaus-laskentataulu'!A:AY,COLUMN('1.2 Ohjaus-laskentataulu'!AV:AV),FALSE),0)</f>
        <v>940522</v>
      </c>
      <c r="R40" s="18">
        <f>IFERROR(Vertailu[[#This Row],[Rahoitus ml. hark. kor. 
2021 ilman alv, €]]-Vertailu[[#This Row],[Rahoitus ml. hark. kor. 
2020 ilman alv, €]],0)</f>
        <v>-34663</v>
      </c>
      <c r="S40" s="16">
        <f>IFERROR(Vertailu[[#This Row],[Muutos, € 2]]/Vertailu[[#This Row],[Rahoitus ml. hark. kor. 
2020 ilman alv, €]],0)</f>
        <v>-3.5545050426329362E-2</v>
      </c>
      <c r="T40" s="138">
        <f>IFERROR(VLOOKUP(Vertailu[[#This Row],[Y-tunnus]],'Suoritepäätös 2020'!$Q:$AC,COLUMN('Suoritepäätös 2020'!L:L),FALSE)+VLOOKUP(Vertailu[[#This Row],[Y-tunnus]],'Suoritepäätös 2020'!$Q:$AC,COLUMN('Suoritepäätös 2020'!M:M),FALSE),0)</f>
        <v>1014476</v>
      </c>
      <c r="U40" s="135">
        <f>IFERROR(VLOOKUP(Vertailu[[#This Row],[Y-tunnus]],'1.2 Ohjaus-laskentataulu'!A:AY,COLUMN('1.2 Ohjaus-laskentataulu'!AX:AX),FALSE),0)</f>
        <v>957261</v>
      </c>
      <c r="V40" s="141">
        <f>IFERROR(Vertailu[[#This Row],[Rahoitus ml. hark. kor. + alv 2021, €]]-Vertailu[[#This Row],[Rahoitus ml. hark. kor. + alv 2020, €]],0)</f>
        <v>-57215</v>
      </c>
      <c r="W40" s="43">
        <f>IFERROR(Vertailu[[#This Row],[Muutos, € 3]]/Vertailu[[#This Row],[Rahoitus ml. hark. kor. + alv 2020, €]],0)</f>
        <v>-5.6398574239311723E-2</v>
      </c>
      <c r="X40" s="18">
        <f>IFERROR(VLOOKUP(Vertailu[[#This Row],[Y-tunnus]],'Suoritepäätös 2020'!$B:$N,COLUMN('Suoritepäätös 2020'!G:G),FALSE),0)</f>
        <v>493394</v>
      </c>
      <c r="Y40" s="18">
        <f>IFERROR(VLOOKUP(Vertailu[[#This Row],[Y-tunnus]],'1.2 Ohjaus-laskentataulu'!A:AY,COLUMN('1.2 Ohjaus-laskentataulu'!AS:AS),FALSE),0)</f>
        <v>507586</v>
      </c>
      <c r="Z40" s="18">
        <f>Vertailu[[#This Row],[Perusrahoitus 2021, €]]-Vertailu[[#This Row],[Perusrahoitus 2020, €]]</f>
        <v>14192</v>
      </c>
      <c r="AA40" s="43">
        <f>IFERROR(Vertailu[[#This Row],[Perusrahoituksen muutos, €]]/Vertailu[[#This Row],[Perusrahoitus 2020, €]],0)</f>
        <v>2.8764030369238379E-2</v>
      </c>
      <c r="AB40" s="18">
        <f>IFERROR(VLOOKUP(Vertailu[[#This Row],[Y-tunnus]],'Suoritepäätös 2020'!$B:$N,COLUMN('Suoritepäätös 2020'!M:M),FALSE),0)</f>
        <v>244304</v>
      </c>
      <c r="AC40" s="18">
        <f>IFERROR(VLOOKUP(Vertailu[[#This Row],[Y-tunnus]],'1.2 Ohjaus-laskentataulu'!A:AY,COLUMN('1.2 Ohjaus-laskentataulu'!O:O),FALSE),0)</f>
        <v>197335</v>
      </c>
      <c r="AD40" s="18">
        <f>Vertailu[[#This Row],[Suoritusrahoitus 2021, €]]-Vertailu[[#This Row],[Suoritusrahoitus 2020, €]]</f>
        <v>-46969</v>
      </c>
      <c r="AE40" s="43">
        <f>IFERROR(Vertailu[[#This Row],[Suoritusrahoituksen muutos, €]]/Vertailu[[#This Row],[Suoritusrahoitus 2020, €]],0)</f>
        <v>-0.19225636911389088</v>
      </c>
      <c r="AF40" s="18">
        <f>IFERROR(VLOOKUP(Vertailu[[#This Row],[Y-tunnus]],'Suoritepäätös 2020'!$Q:$AC,COLUMN('Suoritepäätös 2020'!K:K),FALSE),0)</f>
        <v>237487</v>
      </c>
      <c r="AG40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235601</v>
      </c>
      <c r="AH40" s="18">
        <f>Vertailu[[#This Row],[Vaikuttavuusrahoitus 2021, €]]-Vertailu[[#This Row],[Vaikuttavuusrahoitus 2020, €]]</f>
        <v>-1886</v>
      </c>
      <c r="AI40" s="43">
        <f>IFERROR(Vertailu[[#This Row],[Vaikuttavuusrahoituksen muutos, €]]/Vertailu[[#This Row],[Vaikuttavuusrahoitus 2020, €]],0)</f>
        <v>-7.941487323516655E-3</v>
      </c>
    </row>
    <row r="41" spans="1:35" ht="12.75" customHeight="1" x14ac:dyDescent="0.25">
      <c r="A41" s="22" t="s">
        <v>349</v>
      </c>
      <c r="B41" s="236" t="s">
        <v>531</v>
      </c>
      <c r="C41" s="142" t="s">
        <v>218</v>
      </c>
      <c r="D41" s="170" t="s">
        <v>391</v>
      </c>
      <c r="E41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0.65905581245036238</v>
      </c>
      <c r="F41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0.65968951429557698</v>
      </c>
      <c r="G41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0.22153060002835498</v>
      </c>
      <c r="H41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0.11877988567606806</v>
      </c>
      <c r="I41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9.5222463171506316E-2</v>
      </c>
      <c r="J41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4.8750366101437889E-3</v>
      </c>
      <c r="K41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1.8682385894417952E-2</v>
      </c>
      <c r="L41" s="18">
        <f>IFERROR(VLOOKUP(Vertailu[[#This Row],[Y-tunnus]],'Suoritepäätös 2020'!$Q:$AC,COLUMN('Suoritepäätös 2020'!L:L),FALSE)-VLOOKUP(Vertailu[[#This Row],[Y-tunnus]],'Suoritepäätös 2020'!$B:$N,COLUMN('Suoritepäätös 2020'!F:F),FALSE),0)</f>
        <v>65599506</v>
      </c>
      <c r="M41" s="18">
        <f>IFERROR(VLOOKUP(Vertailu[[#This Row],[Y-tunnus]],'1.2 Ohjaus-laskentataulu'!A:AY,COLUMN('1.2 Ohjaus-laskentataulu'!Z:Z),FALSE),0)</f>
        <v>63081167</v>
      </c>
      <c r="N41" s="18">
        <f>IFERROR(Vertailu[[#This Row],[Rahoitus pl. hark. kor. 2021 ilman alv, €]]-Vertailu[[#This Row],[Rahoitus pl. hark. kor. 2020 ilman alv, €]],0)</f>
        <v>-2518339</v>
      </c>
      <c r="O41" s="43">
        <f>IFERROR(Vertailu[[#This Row],[Muutos, € 1]]/Vertailu[[#This Row],[Rahoitus pl. hark. kor. 2020 ilman alv, €]],0)</f>
        <v>-3.8389603116828347E-2</v>
      </c>
      <c r="P41" s="135">
        <f>IFERROR(VLOOKUP(Vertailu[[#This Row],[Y-tunnus]],'Suoritepäätös 2020'!$Q:$AC,COLUMN('Suoritepäätös 2020'!L:L),FALSE),0)</f>
        <v>65754506</v>
      </c>
      <c r="Q41" s="138">
        <f>IFERROR(VLOOKUP(Vertailu[[#This Row],[Y-tunnus]],'1.2 Ohjaus-laskentataulu'!A:AY,COLUMN('1.2 Ohjaus-laskentataulu'!AV:AV),FALSE),0)</f>
        <v>63121167</v>
      </c>
      <c r="R41" s="18">
        <f>IFERROR(Vertailu[[#This Row],[Rahoitus ml. hark. kor. 
2021 ilman alv, €]]-Vertailu[[#This Row],[Rahoitus ml. hark. kor. 
2020 ilman alv, €]],0)</f>
        <v>-2633339</v>
      </c>
      <c r="S41" s="16">
        <f>IFERROR(Vertailu[[#This Row],[Muutos, € 2]]/Vertailu[[#This Row],[Rahoitus ml. hark. kor. 
2020 ilman alv, €]],0)</f>
        <v>-4.0048038684983807E-2</v>
      </c>
      <c r="T41" s="138">
        <f>IFERROR(VLOOKUP(Vertailu[[#This Row],[Y-tunnus]],'Suoritepäätös 2020'!$Q:$AC,COLUMN('Suoritepäätös 2020'!L:L),FALSE)+VLOOKUP(Vertailu[[#This Row],[Y-tunnus]],'Suoritepäätös 2020'!$Q:$AC,COLUMN('Suoritepäätös 2020'!M:M),FALSE),0)</f>
        <v>65754506</v>
      </c>
      <c r="U41" s="135">
        <f>IFERROR(VLOOKUP(Vertailu[[#This Row],[Y-tunnus]],'1.2 Ohjaus-laskentataulu'!A:AY,COLUMN('1.2 Ohjaus-laskentataulu'!AX:AX),FALSE),0)</f>
        <v>63121167</v>
      </c>
      <c r="V41" s="141">
        <f>IFERROR(Vertailu[[#This Row],[Rahoitus ml. hark. kor. + alv 2021, €]]-Vertailu[[#This Row],[Rahoitus ml. hark. kor. + alv 2020, €]],0)</f>
        <v>-2633339</v>
      </c>
      <c r="W41" s="43">
        <f>IFERROR(Vertailu[[#This Row],[Muutos, € 3]]/Vertailu[[#This Row],[Rahoitus ml. hark. kor. + alv 2020, €]],0)</f>
        <v>-4.0048038684983807E-2</v>
      </c>
      <c r="X41" s="18">
        <f>IFERROR(VLOOKUP(Vertailu[[#This Row],[Y-tunnus]],'Suoritepäätös 2020'!$B:$N,COLUMN('Suoritepäätös 2020'!G:G),FALSE),0)</f>
        <v>42631168</v>
      </c>
      <c r="Y41" s="18">
        <f>IFERROR(VLOOKUP(Vertailu[[#This Row],[Y-tunnus]],'1.2 Ohjaus-laskentataulu'!A:AY,COLUMN('1.2 Ohjaus-laskentataulu'!AS:AS),FALSE),0)</f>
        <v>41640372</v>
      </c>
      <c r="Z41" s="18">
        <f>Vertailu[[#This Row],[Perusrahoitus 2021, €]]-Vertailu[[#This Row],[Perusrahoitus 2020, €]]</f>
        <v>-990796</v>
      </c>
      <c r="AA41" s="43">
        <f>IFERROR(Vertailu[[#This Row],[Perusrahoituksen muutos, €]]/Vertailu[[#This Row],[Perusrahoitus 2020, €]],0)</f>
        <v>-2.3241117860059571E-2</v>
      </c>
      <c r="AB41" s="18">
        <f>IFERROR(VLOOKUP(Vertailu[[#This Row],[Y-tunnus]],'Suoritepäätös 2020'!$B:$N,COLUMN('Suoritepäätös 2020'!M:M),FALSE),0)</f>
        <v>14980815</v>
      </c>
      <c r="AC41" s="18">
        <f>IFERROR(VLOOKUP(Vertailu[[#This Row],[Y-tunnus]],'1.2 Ohjaus-laskentataulu'!A:AY,COLUMN('1.2 Ohjaus-laskentataulu'!O:O),FALSE),0)</f>
        <v>13983270</v>
      </c>
      <c r="AD41" s="18">
        <f>Vertailu[[#This Row],[Suoritusrahoitus 2021, €]]-Vertailu[[#This Row],[Suoritusrahoitus 2020, €]]</f>
        <v>-997545</v>
      </c>
      <c r="AE41" s="43">
        <f>IFERROR(Vertailu[[#This Row],[Suoritusrahoituksen muutos, €]]/Vertailu[[#This Row],[Suoritusrahoitus 2020, €]],0)</f>
        <v>-6.6588166264652485E-2</v>
      </c>
      <c r="AF41" s="18">
        <f>IFERROR(VLOOKUP(Vertailu[[#This Row],[Y-tunnus]],'Suoritepäätös 2020'!$Q:$AC,COLUMN('Suoritepäätös 2020'!K:K),FALSE),0)</f>
        <v>8142523</v>
      </c>
      <c r="AG41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7497525</v>
      </c>
      <c r="AH41" s="18">
        <f>Vertailu[[#This Row],[Vaikuttavuusrahoitus 2021, €]]-Vertailu[[#This Row],[Vaikuttavuusrahoitus 2020, €]]</f>
        <v>-644998</v>
      </c>
      <c r="AI41" s="43">
        <f>IFERROR(Vertailu[[#This Row],[Vaikuttavuusrahoituksen muutos, €]]/Vertailu[[#This Row],[Vaikuttavuusrahoitus 2020, €]],0)</f>
        <v>-7.9213531235957202E-2</v>
      </c>
    </row>
    <row r="42" spans="1:35" ht="12.75" customHeight="1" x14ac:dyDescent="0.25">
      <c r="A42" s="22" t="s">
        <v>354</v>
      </c>
      <c r="B42" s="236" t="s">
        <v>47</v>
      </c>
      <c r="C42" s="142" t="s">
        <v>218</v>
      </c>
      <c r="D42" s="170" t="s">
        <v>392</v>
      </c>
      <c r="E42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0.6261133099547932</v>
      </c>
      <c r="F42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0.6261133099547932</v>
      </c>
      <c r="G42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0.26548808903689097</v>
      </c>
      <c r="H42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0.10839860100831582</v>
      </c>
      <c r="I42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7.9035123621007203E-2</v>
      </c>
      <c r="J42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8.8250888322512228E-3</v>
      </c>
      <c r="K42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2.0538388555057394E-2</v>
      </c>
      <c r="L42" s="18">
        <f>IFERROR(VLOOKUP(Vertailu[[#This Row],[Y-tunnus]],'Suoritepäätös 2020'!$Q:$AC,COLUMN('Suoritepäätös 2020'!L:L),FALSE)-VLOOKUP(Vertailu[[#This Row],[Y-tunnus]],'Suoritepäätös 2020'!$B:$N,COLUMN('Suoritepäätös 2020'!F:F),FALSE),0)</f>
        <v>1696526</v>
      </c>
      <c r="M42" s="18">
        <f>IFERROR(VLOOKUP(Vertailu[[#This Row],[Y-tunnus]],'1.2 Ohjaus-laskentataulu'!A:AY,COLUMN('1.2 Ohjaus-laskentataulu'!Z:Z),FALSE),0)</f>
        <v>1720096</v>
      </c>
      <c r="N42" s="18">
        <f>IFERROR(Vertailu[[#This Row],[Rahoitus pl. hark. kor. 2021 ilman alv, €]]-Vertailu[[#This Row],[Rahoitus pl. hark. kor. 2020 ilman alv, €]],0)</f>
        <v>23570</v>
      </c>
      <c r="O42" s="43">
        <f>IFERROR(Vertailu[[#This Row],[Muutos, € 1]]/Vertailu[[#This Row],[Rahoitus pl. hark. kor. 2020 ilman alv, €]],0)</f>
        <v>1.389309683435444E-2</v>
      </c>
      <c r="P42" s="135">
        <f>IFERROR(VLOOKUP(Vertailu[[#This Row],[Y-tunnus]],'Suoritepäätös 2020'!$Q:$AC,COLUMN('Suoritepäätös 2020'!L:L),FALSE),0)</f>
        <v>1716526</v>
      </c>
      <c r="Q42" s="138">
        <f>IFERROR(VLOOKUP(Vertailu[[#This Row],[Y-tunnus]],'1.2 Ohjaus-laskentataulu'!A:AY,COLUMN('1.2 Ohjaus-laskentataulu'!AV:AV),FALSE),0)</f>
        <v>1720096</v>
      </c>
      <c r="R42" s="18">
        <f>IFERROR(Vertailu[[#This Row],[Rahoitus ml. hark. kor. 
2021 ilman alv, €]]-Vertailu[[#This Row],[Rahoitus ml. hark. kor. 
2020 ilman alv, €]],0)</f>
        <v>3570</v>
      </c>
      <c r="S42" s="16">
        <f>IFERROR(Vertailu[[#This Row],[Muutos, € 2]]/Vertailu[[#This Row],[Rahoitus ml. hark. kor. 
2020 ilman alv, €]],0)</f>
        <v>2.0797820714629433E-3</v>
      </c>
      <c r="T42" s="138">
        <f>IFERROR(VLOOKUP(Vertailu[[#This Row],[Y-tunnus]],'Suoritepäätös 2020'!$Q:$AC,COLUMN('Suoritepäätös 2020'!L:L),FALSE)+VLOOKUP(Vertailu[[#This Row],[Y-tunnus]],'Suoritepäätös 2020'!$Q:$AC,COLUMN('Suoritepäätös 2020'!M:M),FALSE),0)</f>
        <v>1725189</v>
      </c>
      <c r="U42" s="135">
        <f>IFERROR(VLOOKUP(Vertailu[[#This Row],[Y-tunnus]],'1.2 Ohjaus-laskentataulu'!A:AY,COLUMN('1.2 Ohjaus-laskentataulu'!AX:AX),FALSE),0)</f>
        <v>1722337</v>
      </c>
      <c r="V42" s="141">
        <f>IFERROR(Vertailu[[#This Row],[Rahoitus ml. hark. kor. + alv 2021, €]]-Vertailu[[#This Row],[Rahoitus ml. hark. kor. + alv 2020, €]],0)</f>
        <v>-2852</v>
      </c>
      <c r="W42" s="43">
        <f>IFERROR(Vertailu[[#This Row],[Muutos, € 3]]/Vertailu[[#This Row],[Rahoitus ml. hark. kor. + alv 2020, €]],0)</f>
        <v>-1.653152205352573E-3</v>
      </c>
      <c r="X42" s="18">
        <f>IFERROR(VLOOKUP(Vertailu[[#This Row],[Y-tunnus]],'Suoritepäätös 2020'!$B:$N,COLUMN('Suoritepäätös 2020'!G:G),FALSE),0)</f>
        <v>1085283</v>
      </c>
      <c r="Y42" s="18">
        <f>IFERROR(VLOOKUP(Vertailu[[#This Row],[Y-tunnus]],'1.2 Ohjaus-laskentataulu'!A:AY,COLUMN('1.2 Ohjaus-laskentataulu'!AS:AS),FALSE),0)</f>
        <v>1076975</v>
      </c>
      <c r="Z42" s="18">
        <f>Vertailu[[#This Row],[Perusrahoitus 2021, €]]-Vertailu[[#This Row],[Perusrahoitus 2020, €]]</f>
        <v>-8308</v>
      </c>
      <c r="AA42" s="43">
        <f>IFERROR(Vertailu[[#This Row],[Perusrahoituksen muutos, €]]/Vertailu[[#This Row],[Perusrahoitus 2020, €]],0)</f>
        <v>-7.6551461692480208E-3</v>
      </c>
      <c r="AB42" s="18">
        <f>IFERROR(VLOOKUP(Vertailu[[#This Row],[Y-tunnus]],'Suoritepäätös 2020'!$B:$N,COLUMN('Suoritepäätös 2020'!M:M),FALSE),0)</f>
        <v>399322</v>
      </c>
      <c r="AC42" s="18">
        <f>IFERROR(VLOOKUP(Vertailu[[#This Row],[Y-tunnus]],'1.2 Ohjaus-laskentataulu'!A:AY,COLUMN('1.2 Ohjaus-laskentataulu'!O:O),FALSE),0)</f>
        <v>456665</v>
      </c>
      <c r="AD42" s="18">
        <f>Vertailu[[#This Row],[Suoritusrahoitus 2021, €]]-Vertailu[[#This Row],[Suoritusrahoitus 2020, €]]</f>
        <v>57343</v>
      </c>
      <c r="AE42" s="43">
        <f>IFERROR(Vertailu[[#This Row],[Suoritusrahoituksen muutos, €]]/Vertailu[[#This Row],[Suoritusrahoitus 2020, €]],0)</f>
        <v>0.14360090353148586</v>
      </c>
      <c r="AF42" s="18">
        <f>IFERROR(VLOOKUP(Vertailu[[#This Row],[Y-tunnus]],'Suoritepäätös 2020'!$Q:$AC,COLUMN('Suoritepäätös 2020'!K:K),FALSE),0)</f>
        <v>231921</v>
      </c>
      <c r="AG42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186456</v>
      </c>
      <c r="AH42" s="18">
        <f>Vertailu[[#This Row],[Vaikuttavuusrahoitus 2021, €]]-Vertailu[[#This Row],[Vaikuttavuusrahoitus 2020, €]]</f>
        <v>-45465</v>
      </c>
      <c r="AI42" s="43">
        <f>IFERROR(Vertailu[[#This Row],[Vaikuttavuusrahoituksen muutos, €]]/Vertailu[[#This Row],[Vaikuttavuusrahoitus 2020, €]],0)</f>
        <v>-0.19603658142212219</v>
      </c>
    </row>
    <row r="43" spans="1:35" ht="12.75" customHeight="1" x14ac:dyDescent="0.25">
      <c r="A43" s="22" t="s">
        <v>353</v>
      </c>
      <c r="B43" s="236" t="s">
        <v>48</v>
      </c>
      <c r="C43" s="142" t="s">
        <v>218</v>
      </c>
      <c r="D43" s="170" t="s">
        <v>392</v>
      </c>
      <c r="E43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0.60155435305937244</v>
      </c>
      <c r="F43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0.60155435305937244</v>
      </c>
      <c r="G43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0.30844458901906202</v>
      </c>
      <c r="H43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9.0001057921565555E-2</v>
      </c>
      <c r="I43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5.5864735731912599E-2</v>
      </c>
      <c r="J43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6.189920670276074E-3</v>
      </c>
      <c r="K43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2.7946401519376877E-2</v>
      </c>
      <c r="L43" s="18">
        <f>IFERROR(VLOOKUP(Vertailu[[#This Row],[Y-tunnus]],'Suoritepäätös 2020'!$Q:$AC,COLUMN('Suoritepäätös 2020'!L:L),FALSE)-VLOOKUP(Vertailu[[#This Row],[Y-tunnus]],'Suoritepäätös 2020'!$B:$N,COLUMN('Suoritepäätös 2020'!F:F),FALSE),0)</f>
        <v>1283301</v>
      </c>
      <c r="M43" s="18">
        <f>IFERROR(VLOOKUP(Vertailu[[#This Row],[Y-tunnus]],'1.2 Ohjaus-laskentataulu'!A:AY,COLUMN('1.2 Ohjaus-laskentataulu'!Z:Z),FALSE),0)</f>
        <v>1389517</v>
      </c>
      <c r="N43" s="18">
        <f>IFERROR(Vertailu[[#This Row],[Rahoitus pl. hark. kor. 2021 ilman alv, €]]-Vertailu[[#This Row],[Rahoitus pl. hark. kor. 2020 ilman alv, €]],0)</f>
        <v>106216</v>
      </c>
      <c r="O43" s="43">
        <f>IFERROR(Vertailu[[#This Row],[Muutos, € 1]]/Vertailu[[#This Row],[Rahoitus pl. hark. kor. 2020 ilman alv, €]],0)</f>
        <v>8.2767799604301723E-2</v>
      </c>
      <c r="P43" s="135">
        <f>IFERROR(VLOOKUP(Vertailu[[#This Row],[Y-tunnus]],'Suoritepäätös 2020'!$Q:$AC,COLUMN('Suoritepäätös 2020'!L:L),FALSE),0)</f>
        <v>1293301</v>
      </c>
      <c r="Q43" s="138">
        <f>IFERROR(VLOOKUP(Vertailu[[#This Row],[Y-tunnus]],'1.2 Ohjaus-laskentataulu'!A:AY,COLUMN('1.2 Ohjaus-laskentataulu'!AV:AV),FALSE),0)</f>
        <v>1389517</v>
      </c>
      <c r="R43" s="18">
        <f>IFERROR(Vertailu[[#This Row],[Rahoitus ml. hark. kor. 
2021 ilman alv, €]]-Vertailu[[#This Row],[Rahoitus ml. hark. kor. 
2020 ilman alv, €]],0)</f>
        <v>96216</v>
      </c>
      <c r="S43" s="16">
        <f>IFERROR(Vertailu[[#This Row],[Muutos, € 2]]/Vertailu[[#This Row],[Rahoitus ml. hark. kor. 
2020 ilman alv, €]],0)</f>
        <v>7.439567432484781E-2</v>
      </c>
      <c r="T43" s="138">
        <f>IFERROR(VLOOKUP(Vertailu[[#This Row],[Y-tunnus]],'Suoritepäätös 2020'!$Q:$AC,COLUMN('Suoritepäätös 2020'!L:L),FALSE)+VLOOKUP(Vertailu[[#This Row],[Y-tunnus]],'Suoritepäätös 2020'!$Q:$AC,COLUMN('Suoritepäätös 2020'!M:M),FALSE),0)</f>
        <v>1362744</v>
      </c>
      <c r="U43" s="135">
        <f>IFERROR(VLOOKUP(Vertailu[[#This Row],[Y-tunnus]],'1.2 Ohjaus-laskentataulu'!A:AY,COLUMN('1.2 Ohjaus-laskentataulu'!AX:AX),FALSE),0)</f>
        <v>1449559</v>
      </c>
      <c r="V43" s="141">
        <f>IFERROR(Vertailu[[#This Row],[Rahoitus ml. hark. kor. + alv 2021, €]]-Vertailu[[#This Row],[Rahoitus ml. hark. kor. + alv 2020, €]],0)</f>
        <v>86815</v>
      </c>
      <c r="W43" s="43">
        <f>IFERROR(Vertailu[[#This Row],[Muutos, € 3]]/Vertailu[[#This Row],[Rahoitus ml. hark. kor. + alv 2020, €]],0)</f>
        <v>6.3706022554492994E-2</v>
      </c>
      <c r="X43" s="18">
        <f>IFERROR(VLOOKUP(Vertailu[[#This Row],[Y-tunnus]],'Suoritepäätös 2020'!$B:$N,COLUMN('Suoritepäätös 2020'!G:G),FALSE),0)</f>
        <v>796126</v>
      </c>
      <c r="Y43" s="18">
        <f>IFERROR(VLOOKUP(Vertailu[[#This Row],[Y-tunnus]],'1.2 Ohjaus-laskentataulu'!A:AY,COLUMN('1.2 Ohjaus-laskentataulu'!AS:AS),FALSE),0)</f>
        <v>835870</v>
      </c>
      <c r="Z43" s="18">
        <f>Vertailu[[#This Row],[Perusrahoitus 2021, €]]-Vertailu[[#This Row],[Perusrahoitus 2020, €]]</f>
        <v>39744</v>
      </c>
      <c r="AA43" s="43">
        <f>IFERROR(Vertailu[[#This Row],[Perusrahoituksen muutos, €]]/Vertailu[[#This Row],[Perusrahoitus 2020, €]],0)</f>
        <v>4.9921746055272657E-2</v>
      </c>
      <c r="AB43" s="18">
        <f>IFERROR(VLOOKUP(Vertailu[[#This Row],[Y-tunnus]],'Suoritepäätös 2020'!$B:$N,COLUMN('Suoritepäätös 2020'!M:M),FALSE),0)</f>
        <v>335855</v>
      </c>
      <c r="AC43" s="18">
        <f>IFERROR(VLOOKUP(Vertailu[[#This Row],[Y-tunnus]],'1.2 Ohjaus-laskentataulu'!A:AY,COLUMN('1.2 Ohjaus-laskentataulu'!O:O),FALSE),0)</f>
        <v>428589</v>
      </c>
      <c r="AD43" s="18">
        <f>Vertailu[[#This Row],[Suoritusrahoitus 2021, €]]-Vertailu[[#This Row],[Suoritusrahoitus 2020, €]]</f>
        <v>92734</v>
      </c>
      <c r="AE43" s="43">
        <f>IFERROR(Vertailu[[#This Row],[Suoritusrahoituksen muutos, €]]/Vertailu[[#This Row],[Suoritusrahoitus 2020, €]],0)</f>
        <v>0.27611320361465513</v>
      </c>
      <c r="AF43" s="18">
        <f>IFERROR(VLOOKUP(Vertailu[[#This Row],[Y-tunnus]],'Suoritepäätös 2020'!$Q:$AC,COLUMN('Suoritepäätös 2020'!K:K),FALSE),0)</f>
        <v>161320</v>
      </c>
      <c r="AG43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125058</v>
      </c>
      <c r="AH43" s="18">
        <f>Vertailu[[#This Row],[Vaikuttavuusrahoitus 2021, €]]-Vertailu[[#This Row],[Vaikuttavuusrahoitus 2020, €]]</f>
        <v>-36262</v>
      </c>
      <c r="AI43" s="43">
        <f>IFERROR(Vertailu[[#This Row],[Vaikuttavuusrahoituksen muutos, €]]/Vertailu[[#This Row],[Vaikuttavuusrahoitus 2020, €]],0)</f>
        <v>-0.2247830399206546</v>
      </c>
    </row>
    <row r="44" spans="1:35" ht="12.75" customHeight="1" x14ac:dyDescent="0.25">
      <c r="A44" s="22" t="s">
        <v>348</v>
      </c>
      <c r="B44" s="236" t="s">
        <v>49</v>
      </c>
      <c r="C44" s="142" t="s">
        <v>249</v>
      </c>
      <c r="D44" s="170" t="s">
        <v>391</v>
      </c>
      <c r="E44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0.66279187970181608</v>
      </c>
      <c r="F44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0.66762489188148999</v>
      </c>
      <c r="G44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0.25150334871358909</v>
      </c>
      <c r="H44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8.0871759404920876E-2</v>
      </c>
      <c r="I44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6.376434619252884E-2</v>
      </c>
      <c r="J44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3.6985431206985183E-3</v>
      </c>
      <c r="K44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1.3408870091693519E-2</v>
      </c>
      <c r="L44" s="18">
        <f>IFERROR(VLOOKUP(Vertailu[[#This Row],[Y-tunnus]],'Suoritepäätös 2020'!$Q:$AC,COLUMN('Suoritepäätös 2020'!L:L),FALSE)-VLOOKUP(Vertailu[[#This Row],[Y-tunnus]],'Suoritepäätös 2020'!$B:$N,COLUMN('Suoritepäätös 2020'!F:F),FALSE),0)</f>
        <v>5818998</v>
      </c>
      <c r="M44" s="18">
        <f>IFERROR(VLOOKUP(Vertailu[[#This Row],[Y-tunnus]],'1.2 Ohjaus-laskentataulu'!A:AY,COLUMN('1.2 Ohjaus-laskentataulu'!Z:Z),FALSE),0)</f>
        <v>6177309</v>
      </c>
      <c r="N44" s="18">
        <f>IFERROR(Vertailu[[#This Row],[Rahoitus pl. hark. kor. 2021 ilman alv, €]]-Vertailu[[#This Row],[Rahoitus pl. hark. kor. 2020 ilman alv, €]],0)</f>
        <v>358311</v>
      </c>
      <c r="O44" s="43">
        <f>IFERROR(Vertailu[[#This Row],[Muutos, € 1]]/Vertailu[[#This Row],[Rahoitus pl. hark. kor. 2020 ilman alv, €]],0)</f>
        <v>6.1576065157609612E-2</v>
      </c>
      <c r="P44" s="135">
        <f>IFERROR(VLOOKUP(Vertailu[[#This Row],[Y-tunnus]],'Suoritepäätös 2020'!$Q:$AC,COLUMN('Suoritepäätös 2020'!L:L),FALSE),0)</f>
        <v>5818998</v>
      </c>
      <c r="Q44" s="138">
        <f>IFERROR(VLOOKUP(Vertailu[[#This Row],[Y-tunnus]],'1.2 Ohjaus-laskentataulu'!A:AY,COLUMN('1.2 Ohjaus-laskentataulu'!AV:AV),FALSE),0)</f>
        <v>6207309</v>
      </c>
      <c r="R44" s="18">
        <f>IFERROR(Vertailu[[#This Row],[Rahoitus ml. hark. kor. 
2021 ilman alv, €]]-Vertailu[[#This Row],[Rahoitus ml. hark. kor. 
2020 ilman alv, €]],0)</f>
        <v>388311</v>
      </c>
      <c r="S44" s="16">
        <f>IFERROR(Vertailu[[#This Row],[Muutos, € 2]]/Vertailu[[#This Row],[Rahoitus ml. hark. kor. 
2020 ilman alv, €]],0)</f>
        <v>6.6731591933869031E-2</v>
      </c>
      <c r="T44" s="138">
        <f>IFERROR(VLOOKUP(Vertailu[[#This Row],[Y-tunnus]],'Suoritepäätös 2020'!$Q:$AC,COLUMN('Suoritepäätös 2020'!L:L),FALSE)+VLOOKUP(Vertailu[[#This Row],[Y-tunnus]],'Suoritepäätös 2020'!$Q:$AC,COLUMN('Suoritepäätös 2020'!M:M),FALSE),0)</f>
        <v>5818998</v>
      </c>
      <c r="U44" s="135">
        <f>IFERROR(VLOOKUP(Vertailu[[#This Row],[Y-tunnus]],'1.2 Ohjaus-laskentataulu'!A:AY,COLUMN('1.2 Ohjaus-laskentataulu'!AX:AX),FALSE),0)</f>
        <v>6207309</v>
      </c>
      <c r="V44" s="141">
        <f>IFERROR(Vertailu[[#This Row],[Rahoitus ml. hark. kor. + alv 2021, €]]-Vertailu[[#This Row],[Rahoitus ml. hark. kor. + alv 2020, €]],0)</f>
        <v>388311</v>
      </c>
      <c r="W44" s="43">
        <f>IFERROR(Vertailu[[#This Row],[Muutos, € 3]]/Vertailu[[#This Row],[Rahoitus ml. hark. kor. + alv 2020, €]],0)</f>
        <v>6.6731591933869031E-2</v>
      </c>
      <c r="X44" s="18">
        <f>IFERROR(VLOOKUP(Vertailu[[#This Row],[Y-tunnus]],'Suoritepäätös 2020'!$B:$N,COLUMN('Suoritepäätös 2020'!G:G),FALSE),0)</f>
        <v>3536976</v>
      </c>
      <c r="Y44" s="18">
        <f>IFERROR(VLOOKUP(Vertailu[[#This Row],[Y-tunnus]],'1.2 Ohjaus-laskentataulu'!A:AY,COLUMN('1.2 Ohjaus-laskentataulu'!AS:AS),FALSE),0)</f>
        <v>4144154</v>
      </c>
      <c r="Z44" s="18">
        <f>Vertailu[[#This Row],[Perusrahoitus 2021, €]]-Vertailu[[#This Row],[Perusrahoitus 2020, €]]</f>
        <v>607178</v>
      </c>
      <c r="AA44" s="43">
        <f>IFERROR(Vertailu[[#This Row],[Perusrahoituksen muutos, €]]/Vertailu[[#This Row],[Perusrahoitus 2020, €]],0)</f>
        <v>0.17166585241177776</v>
      </c>
      <c r="AB44" s="18">
        <f>IFERROR(VLOOKUP(Vertailu[[#This Row],[Y-tunnus]],'Suoritepäätös 2020'!$B:$N,COLUMN('Suoritepäätös 2020'!M:M),FALSE),0)</f>
        <v>1479164</v>
      </c>
      <c r="AC44" s="18">
        <f>IFERROR(VLOOKUP(Vertailu[[#This Row],[Y-tunnus]],'1.2 Ohjaus-laskentataulu'!A:AY,COLUMN('1.2 Ohjaus-laskentataulu'!O:O),FALSE),0)</f>
        <v>1561159</v>
      </c>
      <c r="AD44" s="18">
        <f>Vertailu[[#This Row],[Suoritusrahoitus 2021, €]]-Vertailu[[#This Row],[Suoritusrahoitus 2020, €]]</f>
        <v>81995</v>
      </c>
      <c r="AE44" s="43">
        <f>IFERROR(Vertailu[[#This Row],[Suoritusrahoituksen muutos, €]]/Vertailu[[#This Row],[Suoritusrahoitus 2020, €]],0)</f>
        <v>5.5433339372780839E-2</v>
      </c>
      <c r="AF44" s="18">
        <f>IFERROR(VLOOKUP(Vertailu[[#This Row],[Y-tunnus]],'Suoritepäätös 2020'!$Q:$AC,COLUMN('Suoritepäätös 2020'!K:K),FALSE),0)</f>
        <v>802858</v>
      </c>
      <c r="AG44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501996</v>
      </c>
      <c r="AH44" s="18">
        <f>Vertailu[[#This Row],[Vaikuttavuusrahoitus 2021, €]]-Vertailu[[#This Row],[Vaikuttavuusrahoitus 2020, €]]</f>
        <v>-300862</v>
      </c>
      <c r="AI44" s="43">
        <f>IFERROR(Vertailu[[#This Row],[Vaikuttavuusrahoituksen muutos, €]]/Vertailu[[#This Row],[Vaikuttavuusrahoitus 2020, €]],0)</f>
        <v>-0.37473874583052047</v>
      </c>
    </row>
    <row r="45" spans="1:35" s="201" customFormat="1" ht="12.75" customHeight="1" x14ac:dyDescent="0.25">
      <c r="A45" s="22" t="s">
        <v>431</v>
      </c>
      <c r="B45" s="236" t="s">
        <v>432</v>
      </c>
      <c r="C45" s="142" t="s">
        <v>226</v>
      </c>
      <c r="D45" s="170" t="s">
        <v>392</v>
      </c>
      <c r="E45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</v>
      </c>
      <c r="F45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</v>
      </c>
      <c r="G45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</v>
      </c>
      <c r="H45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</v>
      </c>
      <c r="I45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</v>
      </c>
      <c r="J45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0</v>
      </c>
      <c r="K45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0</v>
      </c>
      <c r="L45" s="18">
        <f>IFERROR(VLOOKUP(Vertailu[[#This Row],[Y-tunnus]],'Suoritepäätös 2020'!$Q:$AC,COLUMN('Suoritepäätös 2020'!L:L),FALSE)-VLOOKUP(Vertailu[[#This Row],[Y-tunnus]],'Suoritepäätös 2020'!$B:$N,COLUMN('Suoritepäätös 2020'!F:F),FALSE),0)</f>
        <v>0</v>
      </c>
      <c r="M45" s="18">
        <f>IFERROR(VLOOKUP(Vertailu[[#This Row],[Y-tunnus]],'1.2 Ohjaus-laskentataulu'!A:AY,COLUMN('1.2 Ohjaus-laskentataulu'!Z:Z),FALSE),0)</f>
        <v>0</v>
      </c>
      <c r="N45" s="18">
        <f>IFERROR(Vertailu[[#This Row],[Rahoitus pl. hark. kor. 2021 ilman alv, €]]-Vertailu[[#This Row],[Rahoitus pl. hark. kor. 2020 ilman alv, €]],0)</f>
        <v>0</v>
      </c>
      <c r="O45" s="43">
        <f>IFERROR(Vertailu[[#This Row],[Muutos, € 1]]/Vertailu[[#This Row],[Rahoitus pl. hark. kor. 2020 ilman alv, €]],0)</f>
        <v>0</v>
      </c>
      <c r="P45" s="135">
        <f>IFERROR(VLOOKUP(Vertailu[[#This Row],[Y-tunnus]],'Suoritepäätös 2020'!$Q:$AC,COLUMN('Suoritepäätös 2020'!L:L),FALSE),0)</f>
        <v>0</v>
      </c>
      <c r="Q45" s="138">
        <f>IFERROR(VLOOKUP(Vertailu[[#This Row],[Y-tunnus]],'1.2 Ohjaus-laskentataulu'!A:AY,COLUMN('1.2 Ohjaus-laskentataulu'!AV:AV),FALSE),0)</f>
        <v>0</v>
      </c>
      <c r="R45" s="18">
        <f>IFERROR(Vertailu[[#This Row],[Rahoitus ml. hark. kor. 
2021 ilman alv, €]]-Vertailu[[#This Row],[Rahoitus ml. hark. kor. 
2020 ilman alv, €]],0)</f>
        <v>0</v>
      </c>
      <c r="S45" s="16">
        <f>IFERROR(Vertailu[[#This Row],[Muutos, € 2]]/Vertailu[[#This Row],[Rahoitus ml. hark. kor. 
2020 ilman alv, €]],0)</f>
        <v>0</v>
      </c>
      <c r="T45" s="138">
        <f>IFERROR(VLOOKUP(Vertailu[[#This Row],[Y-tunnus]],'Suoritepäätös 2020'!$Q:$AC,COLUMN('Suoritepäätös 2020'!L:L),FALSE)+VLOOKUP(Vertailu[[#This Row],[Y-tunnus]],'Suoritepäätös 2020'!$Q:$AC,COLUMN('Suoritepäätös 2020'!M:M),FALSE),0)</f>
        <v>0</v>
      </c>
      <c r="U45" s="135">
        <f>IFERROR(VLOOKUP(Vertailu[[#This Row],[Y-tunnus]],'1.2 Ohjaus-laskentataulu'!A:AY,COLUMN('1.2 Ohjaus-laskentataulu'!AX:AX),FALSE),0)</f>
        <v>0</v>
      </c>
      <c r="V45" s="141">
        <f>IFERROR(Vertailu[[#This Row],[Rahoitus ml. hark. kor. + alv 2021, €]]-Vertailu[[#This Row],[Rahoitus ml. hark. kor. + alv 2020, €]],0)</f>
        <v>0</v>
      </c>
      <c r="W45" s="43">
        <f>IFERROR(Vertailu[[#This Row],[Muutos, € 3]]/Vertailu[[#This Row],[Rahoitus ml. hark. kor. + alv 2020, €]],0)</f>
        <v>0</v>
      </c>
      <c r="X45" s="18">
        <f>IFERROR(VLOOKUP(Vertailu[[#This Row],[Y-tunnus]],'Suoritepäätös 2020'!$B:$N,COLUMN('Suoritepäätös 2020'!G:G),FALSE),0)</f>
        <v>0</v>
      </c>
      <c r="Y45" s="18">
        <f>IFERROR(VLOOKUP(Vertailu[[#This Row],[Y-tunnus]],'1.2 Ohjaus-laskentataulu'!A:AY,COLUMN('1.2 Ohjaus-laskentataulu'!AS:AS),FALSE),0)</f>
        <v>0</v>
      </c>
      <c r="Z45" s="18">
        <f>Vertailu[[#This Row],[Perusrahoitus 2021, €]]-Vertailu[[#This Row],[Perusrahoitus 2020, €]]</f>
        <v>0</v>
      </c>
      <c r="AA45" s="43">
        <f>IFERROR(Vertailu[[#This Row],[Perusrahoituksen muutos, €]]/Vertailu[[#This Row],[Perusrahoitus 2020, €]],0)</f>
        <v>0</v>
      </c>
      <c r="AB45" s="18">
        <f>IFERROR(VLOOKUP(Vertailu[[#This Row],[Y-tunnus]],'Suoritepäätös 2020'!$B:$N,COLUMN('Suoritepäätös 2020'!M:M),FALSE),0)</f>
        <v>0</v>
      </c>
      <c r="AC45" s="18">
        <f>IFERROR(VLOOKUP(Vertailu[[#This Row],[Y-tunnus]],'1.2 Ohjaus-laskentataulu'!A:AY,COLUMN('1.2 Ohjaus-laskentataulu'!O:O),FALSE),0)</f>
        <v>0</v>
      </c>
      <c r="AD45" s="18">
        <f>Vertailu[[#This Row],[Suoritusrahoitus 2021, €]]-Vertailu[[#This Row],[Suoritusrahoitus 2020, €]]</f>
        <v>0</v>
      </c>
      <c r="AE45" s="43">
        <f>IFERROR(Vertailu[[#This Row],[Suoritusrahoituksen muutos, €]]/Vertailu[[#This Row],[Suoritusrahoitus 2020, €]],0)</f>
        <v>0</v>
      </c>
      <c r="AF45" s="18">
        <f>IFERROR(VLOOKUP(Vertailu[[#This Row],[Y-tunnus]],'Suoritepäätös 2020'!$Q:$AC,COLUMN('Suoritepäätös 2020'!K:K),FALSE),0)</f>
        <v>0</v>
      </c>
      <c r="AG45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0</v>
      </c>
      <c r="AH45" s="18">
        <f>Vertailu[[#This Row],[Vaikuttavuusrahoitus 2021, €]]-Vertailu[[#This Row],[Vaikuttavuusrahoitus 2020, €]]</f>
        <v>0</v>
      </c>
      <c r="AI45" s="43">
        <f>IFERROR(Vertailu[[#This Row],[Vaikuttavuusrahoituksen muutos, €]]/Vertailu[[#This Row],[Vaikuttavuusrahoitus 2020, €]],0)</f>
        <v>0</v>
      </c>
    </row>
    <row r="46" spans="1:35" ht="12.75" customHeight="1" x14ac:dyDescent="0.25">
      <c r="A46" s="22" t="s">
        <v>347</v>
      </c>
      <c r="B46" s="236" t="s">
        <v>50</v>
      </c>
      <c r="C46" s="142" t="s">
        <v>226</v>
      </c>
      <c r="D46" s="170" t="s">
        <v>393</v>
      </c>
      <c r="E46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0.67687435971751531</v>
      </c>
      <c r="F46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0.67974397309450496</v>
      </c>
      <c r="G46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0.19929310661474581</v>
      </c>
      <c r="H46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0.12096292029074923</v>
      </c>
      <c r="I46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8.987844317735072E-2</v>
      </c>
      <c r="J46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7.1344686480390501E-3</v>
      </c>
      <c r="K46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2.3950008465359461E-2</v>
      </c>
      <c r="L46" s="18">
        <f>IFERROR(VLOOKUP(Vertailu[[#This Row],[Y-tunnus]],'Suoritepäätös 2020'!$Q:$AC,COLUMN('Suoritepäätös 2020'!L:L),FALSE)-VLOOKUP(Vertailu[[#This Row],[Y-tunnus]],'Suoritepäätös 2020'!$B:$N,COLUMN('Suoritepäätös 2020'!F:F),FALSE),0)</f>
        <v>27592601</v>
      </c>
      <c r="M46" s="18">
        <f>IFERROR(VLOOKUP(Vertailu[[#This Row],[Y-tunnus]],'1.2 Ohjaus-laskentataulu'!A:AY,COLUMN('1.2 Ohjaus-laskentataulu'!Z:Z),FALSE),0)</f>
        <v>27798320</v>
      </c>
      <c r="N46" s="18">
        <f>IFERROR(Vertailu[[#This Row],[Rahoitus pl. hark. kor. 2021 ilman alv, €]]-Vertailu[[#This Row],[Rahoitus pl. hark. kor. 2020 ilman alv, €]],0)</f>
        <v>205719</v>
      </c>
      <c r="O46" s="43">
        <f>IFERROR(Vertailu[[#This Row],[Muutos, € 1]]/Vertailu[[#This Row],[Rahoitus pl. hark. kor. 2020 ilman alv, €]],0)</f>
        <v>7.4555856477611518E-3</v>
      </c>
      <c r="P46" s="135">
        <f>IFERROR(VLOOKUP(Vertailu[[#This Row],[Y-tunnus]],'Suoritepäätös 2020'!$Q:$AC,COLUMN('Suoritepäätös 2020'!L:L),FALSE),0)</f>
        <v>27592601</v>
      </c>
      <c r="Q46" s="138">
        <f>IFERROR(VLOOKUP(Vertailu[[#This Row],[Y-tunnus]],'1.2 Ohjaus-laskentataulu'!A:AY,COLUMN('1.2 Ohjaus-laskentataulu'!AV:AV),FALSE),0)</f>
        <v>27878320</v>
      </c>
      <c r="R46" s="18">
        <f>IFERROR(Vertailu[[#This Row],[Rahoitus ml. hark. kor. 
2021 ilman alv, €]]-Vertailu[[#This Row],[Rahoitus ml. hark. kor. 
2020 ilman alv, €]],0)</f>
        <v>285719</v>
      </c>
      <c r="S46" s="16">
        <f>IFERROR(Vertailu[[#This Row],[Muutos, € 2]]/Vertailu[[#This Row],[Rahoitus ml. hark. kor. 
2020 ilman alv, €]],0)</f>
        <v>1.0354913623402158E-2</v>
      </c>
      <c r="T46" s="138">
        <f>IFERROR(VLOOKUP(Vertailu[[#This Row],[Y-tunnus]],'Suoritepäätös 2020'!$Q:$AC,COLUMN('Suoritepäätös 2020'!L:L),FALSE)+VLOOKUP(Vertailu[[#This Row],[Y-tunnus]],'Suoritepäätös 2020'!$Q:$AC,COLUMN('Suoritepäätös 2020'!M:M),FALSE),0)</f>
        <v>27592601</v>
      </c>
      <c r="U46" s="135">
        <f>IFERROR(VLOOKUP(Vertailu[[#This Row],[Y-tunnus]],'1.2 Ohjaus-laskentataulu'!A:AY,COLUMN('1.2 Ohjaus-laskentataulu'!AX:AX),FALSE),0)</f>
        <v>27878320</v>
      </c>
      <c r="V46" s="141">
        <f>IFERROR(Vertailu[[#This Row],[Rahoitus ml. hark. kor. + alv 2021, €]]-Vertailu[[#This Row],[Rahoitus ml. hark. kor. + alv 2020, €]],0)</f>
        <v>285719</v>
      </c>
      <c r="W46" s="43">
        <f>IFERROR(Vertailu[[#This Row],[Muutos, € 3]]/Vertailu[[#This Row],[Rahoitus ml. hark. kor. + alv 2020, €]],0)</f>
        <v>1.0354913623402158E-2</v>
      </c>
      <c r="X46" s="18">
        <f>IFERROR(VLOOKUP(Vertailu[[#This Row],[Y-tunnus]],'Suoritepäätös 2020'!$B:$N,COLUMN('Suoritepäätös 2020'!G:G),FALSE),0)</f>
        <v>18194208</v>
      </c>
      <c r="Y46" s="18">
        <f>IFERROR(VLOOKUP(Vertailu[[#This Row],[Y-tunnus]],'1.2 Ohjaus-laskentataulu'!A:AY,COLUMN('1.2 Ohjaus-laskentataulu'!AS:AS),FALSE),0)</f>
        <v>18950120</v>
      </c>
      <c r="Z46" s="18">
        <f>Vertailu[[#This Row],[Perusrahoitus 2021, €]]-Vertailu[[#This Row],[Perusrahoitus 2020, €]]</f>
        <v>755912</v>
      </c>
      <c r="AA46" s="43">
        <f>IFERROR(Vertailu[[#This Row],[Perusrahoituksen muutos, €]]/Vertailu[[#This Row],[Perusrahoitus 2020, €]],0)</f>
        <v>4.1546848315683761E-2</v>
      </c>
      <c r="AB46" s="18">
        <f>IFERROR(VLOOKUP(Vertailu[[#This Row],[Y-tunnus]],'Suoritepäätös 2020'!$B:$N,COLUMN('Suoritepäätös 2020'!M:M),FALSE),0)</f>
        <v>5949638</v>
      </c>
      <c r="AC46" s="18">
        <f>IFERROR(VLOOKUP(Vertailu[[#This Row],[Y-tunnus]],'1.2 Ohjaus-laskentataulu'!A:AY,COLUMN('1.2 Ohjaus-laskentataulu'!O:O),FALSE),0)</f>
        <v>5555957</v>
      </c>
      <c r="AD46" s="18">
        <f>Vertailu[[#This Row],[Suoritusrahoitus 2021, €]]-Vertailu[[#This Row],[Suoritusrahoitus 2020, €]]</f>
        <v>-393681</v>
      </c>
      <c r="AE46" s="43">
        <f>IFERROR(Vertailu[[#This Row],[Suoritusrahoituksen muutos, €]]/Vertailu[[#This Row],[Suoritusrahoitus 2020, €]],0)</f>
        <v>-6.6168899687678473E-2</v>
      </c>
      <c r="AF46" s="18">
        <f>IFERROR(VLOOKUP(Vertailu[[#This Row],[Y-tunnus]],'Suoritepäätös 2020'!$Q:$AC,COLUMN('Suoritepäätös 2020'!K:K),FALSE),0)</f>
        <v>3448755</v>
      </c>
      <c r="AG46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3372243</v>
      </c>
      <c r="AH46" s="18">
        <f>Vertailu[[#This Row],[Vaikuttavuusrahoitus 2021, €]]-Vertailu[[#This Row],[Vaikuttavuusrahoitus 2020, €]]</f>
        <v>-76512</v>
      </c>
      <c r="AI46" s="43">
        <f>IFERROR(Vertailu[[#This Row],[Vaikuttavuusrahoituksen muutos, €]]/Vertailu[[#This Row],[Vaikuttavuusrahoitus 2020, €]],0)</f>
        <v>-2.218539733903974E-2</v>
      </c>
    </row>
    <row r="47" spans="1:35" ht="12.75" customHeight="1" x14ac:dyDescent="0.25">
      <c r="A47" s="22" t="s">
        <v>346</v>
      </c>
      <c r="B47" s="236" t="s">
        <v>201</v>
      </c>
      <c r="C47" s="142" t="s">
        <v>224</v>
      </c>
      <c r="D47" s="170" t="s">
        <v>392</v>
      </c>
      <c r="E47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0.63121401501254149</v>
      </c>
      <c r="F47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0.65188390549312669</v>
      </c>
      <c r="G47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0.2052375435488755</v>
      </c>
      <c r="H47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0.14287855095799776</v>
      </c>
      <c r="I47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0.10053214633042266</v>
      </c>
      <c r="J47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1.0435194209123482E-2</v>
      </c>
      <c r="K47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3.1911210418451595E-2</v>
      </c>
      <c r="L47" s="18">
        <f>IFERROR(VLOOKUP(Vertailu[[#This Row],[Y-tunnus]],'Suoritepäätös 2020'!$Q:$AC,COLUMN('Suoritepäätös 2020'!L:L),FALSE)-VLOOKUP(Vertailu[[#This Row],[Y-tunnus]],'Suoritepäätös 2020'!$B:$N,COLUMN('Suoritepäätös 2020'!F:F),FALSE),0)</f>
        <v>890172</v>
      </c>
      <c r="M47" s="18">
        <f>IFERROR(VLOOKUP(Vertailu[[#This Row],[Y-tunnus]],'1.2 Ohjaus-laskentataulu'!A:AY,COLUMN('1.2 Ohjaus-laskentataulu'!Z:Z),FALSE),0)</f>
        <v>947591</v>
      </c>
      <c r="N47" s="18">
        <f>IFERROR(Vertailu[[#This Row],[Rahoitus pl. hark. kor. 2021 ilman alv, €]]-Vertailu[[#This Row],[Rahoitus pl. hark. kor. 2020 ilman alv, €]],0)</f>
        <v>57419</v>
      </c>
      <c r="O47" s="43">
        <f>IFERROR(Vertailu[[#This Row],[Muutos, € 1]]/Vertailu[[#This Row],[Rahoitus pl. hark. kor. 2020 ilman alv, €]],0)</f>
        <v>6.4503264537639923E-2</v>
      </c>
      <c r="P47" s="135">
        <f>IFERROR(VLOOKUP(Vertailu[[#This Row],[Y-tunnus]],'Suoritepäätös 2020'!$Q:$AC,COLUMN('Suoritepäätös 2020'!L:L),FALSE),0)</f>
        <v>890172</v>
      </c>
      <c r="Q47" s="138">
        <f>IFERROR(VLOOKUP(Vertailu[[#This Row],[Y-tunnus]],'1.2 Ohjaus-laskentataulu'!A:AY,COLUMN('1.2 Ohjaus-laskentataulu'!AV:AV),FALSE),0)</f>
        <v>967591</v>
      </c>
      <c r="R47" s="18">
        <f>IFERROR(Vertailu[[#This Row],[Rahoitus ml. hark. kor. 
2021 ilman alv, €]]-Vertailu[[#This Row],[Rahoitus ml. hark. kor. 
2020 ilman alv, €]],0)</f>
        <v>77419</v>
      </c>
      <c r="S47" s="16">
        <f>IFERROR(Vertailu[[#This Row],[Muutos, € 2]]/Vertailu[[#This Row],[Rahoitus ml. hark. kor. 
2020 ilman alv, €]],0)</f>
        <v>8.6970832603137371E-2</v>
      </c>
      <c r="T47" s="138">
        <f>IFERROR(VLOOKUP(Vertailu[[#This Row],[Y-tunnus]],'Suoritepäätös 2020'!$Q:$AC,COLUMN('Suoritepäätös 2020'!L:L),FALSE)+VLOOKUP(Vertailu[[#This Row],[Y-tunnus]],'Suoritepäätös 2020'!$Q:$AC,COLUMN('Suoritepäätös 2020'!M:M),FALSE),0)</f>
        <v>917347</v>
      </c>
      <c r="U47" s="135">
        <f>IFERROR(VLOOKUP(Vertailu[[#This Row],[Y-tunnus]],'1.2 Ohjaus-laskentataulu'!A:AY,COLUMN('1.2 Ohjaus-laskentataulu'!AX:AX),FALSE),0)</f>
        <v>1011161</v>
      </c>
      <c r="V47" s="141">
        <f>IFERROR(Vertailu[[#This Row],[Rahoitus ml. hark. kor. + alv 2021, €]]-Vertailu[[#This Row],[Rahoitus ml. hark. kor. + alv 2020, €]],0)</f>
        <v>93814</v>
      </c>
      <c r="W47" s="43">
        <f>IFERROR(Vertailu[[#This Row],[Muutos, € 3]]/Vertailu[[#This Row],[Rahoitus ml. hark. kor. + alv 2020, €]],0)</f>
        <v>0.10226664501001256</v>
      </c>
      <c r="X47" s="18">
        <f>IFERROR(VLOOKUP(Vertailu[[#This Row],[Y-tunnus]],'Suoritepäätös 2020'!$B:$N,COLUMN('Suoritepäätös 2020'!G:G),FALSE),0)</f>
        <v>598447</v>
      </c>
      <c r="Y47" s="18">
        <f>IFERROR(VLOOKUP(Vertailu[[#This Row],[Y-tunnus]],'1.2 Ohjaus-laskentataulu'!A:AY,COLUMN('1.2 Ohjaus-laskentataulu'!AS:AS),FALSE),0)</f>
        <v>630757</v>
      </c>
      <c r="Z47" s="18">
        <f>Vertailu[[#This Row],[Perusrahoitus 2021, €]]-Vertailu[[#This Row],[Perusrahoitus 2020, €]]</f>
        <v>32310</v>
      </c>
      <c r="AA47" s="43">
        <f>IFERROR(Vertailu[[#This Row],[Perusrahoituksen muutos, €]]/Vertailu[[#This Row],[Perusrahoitus 2020, €]],0)</f>
        <v>5.3989743452636574E-2</v>
      </c>
      <c r="AB47" s="18">
        <f>IFERROR(VLOOKUP(Vertailu[[#This Row],[Y-tunnus]],'Suoritepäätös 2020'!$B:$N,COLUMN('Suoritepäätös 2020'!M:M),FALSE),0)</f>
        <v>162363</v>
      </c>
      <c r="AC47" s="18">
        <f>IFERROR(VLOOKUP(Vertailu[[#This Row],[Y-tunnus]],'1.2 Ohjaus-laskentataulu'!A:AY,COLUMN('1.2 Ohjaus-laskentataulu'!O:O),FALSE),0)</f>
        <v>198586</v>
      </c>
      <c r="AD47" s="18">
        <f>Vertailu[[#This Row],[Suoritusrahoitus 2021, €]]-Vertailu[[#This Row],[Suoritusrahoitus 2020, €]]</f>
        <v>36223</v>
      </c>
      <c r="AE47" s="43">
        <f>IFERROR(Vertailu[[#This Row],[Suoritusrahoituksen muutos, €]]/Vertailu[[#This Row],[Suoritusrahoitus 2020, €]],0)</f>
        <v>0.22309885873012941</v>
      </c>
      <c r="AF47" s="18">
        <f>IFERROR(VLOOKUP(Vertailu[[#This Row],[Y-tunnus]],'Suoritepäätös 2020'!$Q:$AC,COLUMN('Suoritepäätös 2020'!K:K),FALSE),0)</f>
        <v>129362</v>
      </c>
      <c r="AG47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138248</v>
      </c>
      <c r="AH47" s="18">
        <f>Vertailu[[#This Row],[Vaikuttavuusrahoitus 2021, €]]-Vertailu[[#This Row],[Vaikuttavuusrahoitus 2020, €]]</f>
        <v>8886</v>
      </c>
      <c r="AI47" s="43">
        <f>IFERROR(Vertailu[[#This Row],[Vaikuttavuusrahoituksen muutos, €]]/Vertailu[[#This Row],[Vaikuttavuusrahoitus 2020, €]],0)</f>
        <v>6.8690960251078376E-2</v>
      </c>
    </row>
    <row r="48" spans="1:35" ht="12.75" customHeight="1" x14ac:dyDescent="0.25">
      <c r="A48" s="22" t="s">
        <v>345</v>
      </c>
      <c r="B48" s="236" t="s">
        <v>51</v>
      </c>
      <c r="C48" s="142" t="s">
        <v>216</v>
      </c>
      <c r="D48" s="170" t="s">
        <v>392</v>
      </c>
      <c r="E48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0.64579483139940008</v>
      </c>
      <c r="F48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0.64579483139940008</v>
      </c>
      <c r="G48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0.23422493713454723</v>
      </c>
      <c r="H48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0.11998023146605266</v>
      </c>
      <c r="I48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8.3449154724755351E-2</v>
      </c>
      <c r="J48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7.8790105129215009E-3</v>
      </c>
      <c r="K48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2.8652066228375798E-2</v>
      </c>
      <c r="L48" s="18">
        <f>IFERROR(VLOOKUP(Vertailu[[#This Row],[Y-tunnus]],'Suoritepäätös 2020'!$Q:$AC,COLUMN('Suoritepäätös 2020'!L:L),FALSE)-VLOOKUP(Vertailu[[#This Row],[Y-tunnus]],'Suoritepäätös 2020'!$B:$N,COLUMN('Suoritepäätös 2020'!F:F),FALSE),0)</f>
        <v>949884</v>
      </c>
      <c r="M48" s="18">
        <f>IFERROR(VLOOKUP(Vertailu[[#This Row],[Y-tunnus]],'1.2 Ohjaus-laskentataulu'!A:AY,COLUMN('1.2 Ohjaus-laskentataulu'!Z:Z),FALSE),0)</f>
        <v>1056224</v>
      </c>
      <c r="N48" s="18">
        <f>IFERROR(Vertailu[[#This Row],[Rahoitus pl. hark. kor. 2021 ilman alv, €]]-Vertailu[[#This Row],[Rahoitus pl. hark. kor. 2020 ilman alv, €]],0)</f>
        <v>106340</v>
      </c>
      <c r="O48" s="43">
        <f>IFERROR(Vertailu[[#This Row],[Muutos, € 1]]/Vertailu[[#This Row],[Rahoitus pl. hark. kor. 2020 ilman alv, €]],0)</f>
        <v>0.11195051185197351</v>
      </c>
      <c r="P48" s="135">
        <f>IFERROR(VLOOKUP(Vertailu[[#This Row],[Y-tunnus]],'Suoritepäätös 2020'!$Q:$AC,COLUMN('Suoritepäätös 2020'!L:L),FALSE),0)</f>
        <v>959884</v>
      </c>
      <c r="Q48" s="138">
        <f>IFERROR(VLOOKUP(Vertailu[[#This Row],[Y-tunnus]],'1.2 Ohjaus-laskentataulu'!A:AY,COLUMN('1.2 Ohjaus-laskentataulu'!AV:AV),FALSE),0)</f>
        <v>1056224</v>
      </c>
      <c r="R48" s="18">
        <f>IFERROR(Vertailu[[#This Row],[Rahoitus ml. hark. kor. 
2021 ilman alv, €]]-Vertailu[[#This Row],[Rahoitus ml. hark. kor. 
2020 ilman alv, €]],0)</f>
        <v>96340</v>
      </c>
      <c r="S48" s="16">
        <f>IFERROR(Vertailu[[#This Row],[Muutos, € 2]]/Vertailu[[#This Row],[Rahoitus ml. hark. kor. 
2020 ilman alv, €]],0)</f>
        <v>0.10036629426055649</v>
      </c>
      <c r="T48" s="138">
        <f>IFERROR(VLOOKUP(Vertailu[[#This Row],[Y-tunnus]],'Suoritepäätös 2020'!$Q:$AC,COLUMN('Suoritepäätös 2020'!L:L),FALSE)+VLOOKUP(Vertailu[[#This Row],[Y-tunnus]],'Suoritepäätös 2020'!$Q:$AC,COLUMN('Suoritepäätös 2020'!M:M),FALSE),0)</f>
        <v>1002109</v>
      </c>
      <c r="U48" s="135">
        <f>IFERROR(VLOOKUP(Vertailu[[#This Row],[Y-tunnus]],'1.2 Ohjaus-laskentataulu'!A:AY,COLUMN('1.2 Ohjaus-laskentataulu'!AX:AX),FALSE),0)</f>
        <v>1111397</v>
      </c>
      <c r="V48" s="141">
        <f>IFERROR(Vertailu[[#This Row],[Rahoitus ml. hark. kor. + alv 2021, €]]-Vertailu[[#This Row],[Rahoitus ml. hark. kor. + alv 2020, €]],0)</f>
        <v>109288</v>
      </c>
      <c r="W48" s="43">
        <f>IFERROR(Vertailu[[#This Row],[Muutos, € 3]]/Vertailu[[#This Row],[Rahoitus ml. hark. kor. + alv 2020, €]],0)</f>
        <v>0.10905799668499136</v>
      </c>
      <c r="X48" s="18">
        <f>IFERROR(VLOOKUP(Vertailu[[#This Row],[Y-tunnus]],'Suoritepäätös 2020'!$B:$N,COLUMN('Suoritepäätös 2020'!G:G),FALSE),0)</f>
        <v>640317</v>
      </c>
      <c r="Y48" s="18">
        <f>IFERROR(VLOOKUP(Vertailu[[#This Row],[Y-tunnus]],'1.2 Ohjaus-laskentataulu'!A:AY,COLUMN('1.2 Ohjaus-laskentataulu'!AS:AS),FALSE),0)</f>
        <v>682104</v>
      </c>
      <c r="Z48" s="18">
        <f>Vertailu[[#This Row],[Perusrahoitus 2021, €]]-Vertailu[[#This Row],[Perusrahoitus 2020, €]]</f>
        <v>41787</v>
      </c>
      <c r="AA48" s="43">
        <f>IFERROR(Vertailu[[#This Row],[Perusrahoituksen muutos, €]]/Vertailu[[#This Row],[Perusrahoitus 2020, €]],0)</f>
        <v>6.5259863473873095E-2</v>
      </c>
      <c r="AB48" s="18">
        <f>IFERROR(VLOOKUP(Vertailu[[#This Row],[Y-tunnus]],'Suoritepäätös 2020'!$B:$N,COLUMN('Suoritepäätös 2020'!M:M),FALSE),0)</f>
        <v>218973</v>
      </c>
      <c r="AC48" s="18">
        <f>IFERROR(VLOOKUP(Vertailu[[#This Row],[Y-tunnus]],'1.2 Ohjaus-laskentataulu'!A:AY,COLUMN('1.2 Ohjaus-laskentataulu'!O:O),FALSE),0)</f>
        <v>247394</v>
      </c>
      <c r="AD48" s="18">
        <f>Vertailu[[#This Row],[Suoritusrahoitus 2021, €]]-Vertailu[[#This Row],[Suoritusrahoitus 2020, €]]</f>
        <v>28421</v>
      </c>
      <c r="AE48" s="43">
        <f>IFERROR(Vertailu[[#This Row],[Suoritusrahoituksen muutos, €]]/Vertailu[[#This Row],[Suoritusrahoitus 2020, €]],0)</f>
        <v>0.12979225749293291</v>
      </c>
      <c r="AF48" s="18">
        <f>IFERROR(VLOOKUP(Vertailu[[#This Row],[Y-tunnus]],'Suoritepäätös 2020'!$Q:$AC,COLUMN('Suoritepäätös 2020'!K:K),FALSE),0)</f>
        <v>100594</v>
      </c>
      <c r="AG48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126726</v>
      </c>
      <c r="AH48" s="18">
        <f>Vertailu[[#This Row],[Vaikuttavuusrahoitus 2021, €]]-Vertailu[[#This Row],[Vaikuttavuusrahoitus 2020, €]]</f>
        <v>26132</v>
      </c>
      <c r="AI48" s="43">
        <f>IFERROR(Vertailu[[#This Row],[Vaikuttavuusrahoituksen muutos, €]]/Vertailu[[#This Row],[Vaikuttavuusrahoitus 2020, €]],0)</f>
        <v>0.25977692506511324</v>
      </c>
    </row>
    <row r="49" spans="1:35" ht="12.75" customHeight="1" x14ac:dyDescent="0.25">
      <c r="A49" s="22" t="s">
        <v>344</v>
      </c>
      <c r="B49" s="236" t="s">
        <v>52</v>
      </c>
      <c r="C49" s="142" t="s">
        <v>216</v>
      </c>
      <c r="D49" s="170" t="s">
        <v>392</v>
      </c>
      <c r="E49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0.78294419352369282</v>
      </c>
      <c r="F49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0.78294419352369282</v>
      </c>
      <c r="G49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0.13379774936844524</v>
      </c>
      <c r="H49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8.3258057107861896E-2</v>
      </c>
      <c r="I49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3.6620334423289332E-2</v>
      </c>
      <c r="J49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8.5891449131133731E-3</v>
      </c>
      <c r="K49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3.8048577771459195E-2</v>
      </c>
      <c r="L49" s="18">
        <f>IFERROR(VLOOKUP(Vertailu[[#This Row],[Y-tunnus]],'Suoritepäätös 2020'!$Q:$AC,COLUMN('Suoritepäätös 2020'!L:L),FALSE)-VLOOKUP(Vertailu[[#This Row],[Y-tunnus]],'Suoritepäätös 2020'!$B:$N,COLUMN('Suoritepäätös 2020'!F:F),FALSE),0)</f>
        <v>434183</v>
      </c>
      <c r="M49" s="18">
        <f>IFERROR(VLOOKUP(Vertailu[[#This Row],[Y-tunnus]],'1.2 Ohjaus-laskentataulu'!A:AY,COLUMN('1.2 Ohjaus-laskentataulu'!Z:Z),FALSE),0)</f>
        <v>457205</v>
      </c>
      <c r="N49" s="18">
        <f>IFERROR(Vertailu[[#This Row],[Rahoitus pl. hark. kor. 2021 ilman alv, €]]-Vertailu[[#This Row],[Rahoitus pl. hark. kor. 2020 ilman alv, €]],0)</f>
        <v>23022</v>
      </c>
      <c r="O49" s="43">
        <f>IFERROR(Vertailu[[#This Row],[Muutos, € 1]]/Vertailu[[#This Row],[Rahoitus pl. hark. kor. 2020 ilman alv, €]],0)</f>
        <v>5.3023725019173941E-2</v>
      </c>
      <c r="P49" s="135">
        <f>IFERROR(VLOOKUP(Vertailu[[#This Row],[Y-tunnus]],'Suoritepäätös 2020'!$Q:$AC,COLUMN('Suoritepäätös 2020'!L:L),FALSE),0)</f>
        <v>434183</v>
      </c>
      <c r="Q49" s="138">
        <f>IFERROR(VLOOKUP(Vertailu[[#This Row],[Y-tunnus]],'1.2 Ohjaus-laskentataulu'!A:AY,COLUMN('1.2 Ohjaus-laskentataulu'!AV:AV),FALSE),0)</f>
        <v>457205</v>
      </c>
      <c r="R49" s="18">
        <f>IFERROR(Vertailu[[#This Row],[Rahoitus ml. hark. kor. 
2021 ilman alv, €]]-Vertailu[[#This Row],[Rahoitus ml. hark. kor. 
2020 ilman alv, €]],0)</f>
        <v>23022</v>
      </c>
      <c r="S49" s="16">
        <f>IFERROR(Vertailu[[#This Row],[Muutos, € 2]]/Vertailu[[#This Row],[Rahoitus ml. hark. kor. 
2020 ilman alv, €]],0)</f>
        <v>5.3023725019173941E-2</v>
      </c>
      <c r="T49" s="138">
        <f>IFERROR(VLOOKUP(Vertailu[[#This Row],[Y-tunnus]],'Suoritepäätös 2020'!$Q:$AC,COLUMN('Suoritepäätös 2020'!L:L),FALSE)+VLOOKUP(Vertailu[[#This Row],[Y-tunnus]],'Suoritepäätös 2020'!$Q:$AC,COLUMN('Suoritepäätös 2020'!M:M),FALSE),0)</f>
        <v>434183</v>
      </c>
      <c r="U49" s="135">
        <f>IFERROR(VLOOKUP(Vertailu[[#This Row],[Y-tunnus]],'1.2 Ohjaus-laskentataulu'!A:AY,COLUMN('1.2 Ohjaus-laskentataulu'!AX:AX),FALSE),0)</f>
        <v>457205</v>
      </c>
      <c r="V49" s="141">
        <f>IFERROR(Vertailu[[#This Row],[Rahoitus ml. hark. kor. + alv 2021, €]]-Vertailu[[#This Row],[Rahoitus ml. hark. kor. + alv 2020, €]],0)</f>
        <v>23022</v>
      </c>
      <c r="W49" s="43">
        <f>IFERROR(Vertailu[[#This Row],[Muutos, € 3]]/Vertailu[[#This Row],[Rahoitus ml. hark. kor. + alv 2020, €]],0)</f>
        <v>5.3023725019173941E-2</v>
      </c>
      <c r="X49" s="18">
        <f>IFERROR(VLOOKUP(Vertailu[[#This Row],[Y-tunnus]],'Suoritepäätös 2020'!$B:$N,COLUMN('Suoritepäätös 2020'!G:G),FALSE),0)</f>
        <v>342897</v>
      </c>
      <c r="Y49" s="18">
        <f>IFERROR(VLOOKUP(Vertailu[[#This Row],[Y-tunnus]],'1.2 Ohjaus-laskentataulu'!A:AY,COLUMN('1.2 Ohjaus-laskentataulu'!AS:AS),FALSE),0)</f>
        <v>357966</v>
      </c>
      <c r="Z49" s="18">
        <f>Vertailu[[#This Row],[Perusrahoitus 2021, €]]-Vertailu[[#This Row],[Perusrahoitus 2020, €]]</f>
        <v>15069</v>
      </c>
      <c r="AA49" s="43">
        <f>IFERROR(Vertailu[[#This Row],[Perusrahoituksen muutos, €]]/Vertailu[[#This Row],[Perusrahoitus 2020, €]],0)</f>
        <v>4.3946141261078403E-2</v>
      </c>
      <c r="AB49" s="18">
        <f>IFERROR(VLOOKUP(Vertailu[[#This Row],[Y-tunnus]],'Suoritepäätös 2020'!$B:$N,COLUMN('Suoritepäätös 2020'!M:M),FALSE),0)</f>
        <v>49506</v>
      </c>
      <c r="AC49" s="18">
        <f>IFERROR(VLOOKUP(Vertailu[[#This Row],[Y-tunnus]],'1.2 Ohjaus-laskentataulu'!A:AY,COLUMN('1.2 Ohjaus-laskentataulu'!O:O),FALSE),0)</f>
        <v>61173</v>
      </c>
      <c r="AD49" s="18">
        <f>Vertailu[[#This Row],[Suoritusrahoitus 2021, €]]-Vertailu[[#This Row],[Suoritusrahoitus 2020, €]]</f>
        <v>11667</v>
      </c>
      <c r="AE49" s="43">
        <f>IFERROR(Vertailu[[#This Row],[Suoritusrahoituksen muutos, €]]/Vertailu[[#This Row],[Suoritusrahoitus 2020, €]],0)</f>
        <v>0.23566840382983881</v>
      </c>
      <c r="AF49" s="18">
        <f>IFERROR(VLOOKUP(Vertailu[[#This Row],[Y-tunnus]],'Suoritepäätös 2020'!$Q:$AC,COLUMN('Suoritepäätös 2020'!K:K),FALSE),0)</f>
        <v>41780</v>
      </c>
      <c r="AG49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38066</v>
      </c>
      <c r="AH49" s="18">
        <f>Vertailu[[#This Row],[Vaikuttavuusrahoitus 2021, €]]-Vertailu[[#This Row],[Vaikuttavuusrahoitus 2020, €]]</f>
        <v>-3714</v>
      </c>
      <c r="AI49" s="43">
        <f>IFERROR(Vertailu[[#This Row],[Vaikuttavuusrahoituksen muutos, €]]/Vertailu[[#This Row],[Vaikuttavuusrahoitus 2020, €]],0)</f>
        <v>-8.8894207754906654E-2</v>
      </c>
    </row>
    <row r="50" spans="1:35" ht="12.75" customHeight="1" x14ac:dyDescent="0.25">
      <c r="A50" s="22" t="s">
        <v>343</v>
      </c>
      <c r="B50" s="236" t="s">
        <v>53</v>
      </c>
      <c r="C50" s="142" t="s">
        <v>218</v>
      </c>
      <c r="D50" s="170" t="s">
        <v>392</v>
      </c>
      <c r="E50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0.6784921835602622</v>
      </c>
      <c r="F50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0.6784921835602622</v>
      </c>
      <c r="G50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0.21200201714573877</v>
      </c>
      <c r="H50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0.10950579929399899</v>
      </c>
      <c r="I50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8.9403681290973272E-2</v>
      </c>
      <c r="J50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4.29904185577408E-3</v>
      </c>
      <c r="K50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1.5803076147251637E-2</v>
      </c>
      <c r="L50" s="18">
        <f>IFERROR(VLOOKUP(Vertailu[[#This Row],[Y-tunnus]],'Suoritepäätös 2020'!$Q:$AC,COLUMN('Suoritepäätös 2020'!L:L),FALSE)-VLOOKUP(Vertailu[[#This Row],[Y-tunnus]],'Suoritepäätös 2020'!$B:$N,COLUMN('Suoritepäätös 2020'!F:F),FALSE),0)</f>
        <v>180868</v>
      </c>
      <c r="M50" s="18">
        <f>IFERROR(VLOOKUP(Vertailu[[#This Row],[Y-tunnus]],'1.2 Ohjaus-laskentataulu'!A:AY,COLUMN('1.2 Ohjaus-laskentataulu'!Z:Z),FALSE),0)</f>
        <v>158640</v>
      </c>
      <c r="N50" s="18">
        <f>IFERROR(Vertailu[[#This Row],[Rahoitus pl. hark. kor. 2021 ilman alv, €]]-Vertailu[[#This Row],[Rahoitus pl. hark. kor. 2020 ilman alv, €]],0)</f>
        <v>-22228</v>
      </c>
      <c r="O50" s="43">
        <f>IFERROR(Vertailu[[#This Row],[Muutos, € 1]]/Vertailu[[#This Row],[Rahoitus pl. hark. kor. 2020 ilman alv, €]],0)</f>
        <v>-0.12289625583298316</v>
      </c>
      <c r="P50" s="135">
        <f>IFERROR(VLOOKUP(Vertailu[[#This Row],[Y-tunnus]],'Suoritepäätös 2020'!$Q:$AC,COLUMN('Suoritepäätös 2020'!L:L),FALSE),0)</f>
        <v>180868</v>
      </c>
      <c r="Q50" s="138">
        <f>IFERROR(VLOOKUP(Vertailu[[#This Row],[Y-tunnus]],'1.2 Ohjaus-laskentataulu'!A:AY,COLUMN('1.2 Ohjaus-laskentataulu'!AV:AV),FALSE),0)</f>
        <v>158640</v>
      </c>
      <c r="R50" s="18">
        <f>IFERROR(Vertailu[[#This Row],[Rahoitus ml. hark. kor. 
2021 ilman alv, €]]-Vertailu[[#This Row],[Rahoitus ml. hark. kor. 
2020 ilman alv, €]],0)</f>
        <v>-22228</v>
      </c>
      <c r="S50" s="16">
        <f>IFERROR(Vertailu[[#This Row],[Muutos, € 2]]/Vertailu[[#This Row],[Rahoitus ml. hark. kor. 
2020 ilman alv, €]],0)</f>
        <v>-0.12289625583298316</v>
      </c>
      <c r="T50" s="138">
        <f>IFERROR(VLOOKUP(Vertailu[[#This Row],[Y-tunnus]],'Suoritepäätös 2020'!$Q:$AC,COLUMN('Suoritepäätös 2020'!L:L),FALSE)+VLOOKUP(Vertailu[[#This Row],[Y-tunnus]],'Suoritepäätös 2020'!$Q:$AC,COLUMN('Suoritepäätös 2020'!M:M),FALSE),0)</f>
        <v>180868</v>
      </c>
      <c r="U50" s="135">
        <f>IFERROR(VLOOKUP(Vertailu[[#This Row],[Y-tunnus]],'1.2 Ohjaus-laskentataulu'!A:AY,COLUMN('1.2 Ohjaus-laskentataulu'!AX:AX),FALSE),0)</f>
        <v>165624</v>
      </c>
      <c r="V50" s="141">
        <f>IFERROR(Vertailu[[#This Row],[Rahoitus ml. hark. kor. + alv 2021, €]]-Vertailu[[#This Row],[Rahoitus ml. hark. kor. + alv 2020, €]],0)</f>
        <v>-15244</v>
      </c>
      <c r="W50" s="43">
        <f>IFERROR(Vertailu[[#This Row],[Muutos, € 3]]/Vertailu[[#This Row],[Rahoitus ml. hark. kor. + alv 2020, €]],0)</f>
        <v>-8.4282460136674259E-2</v>
      </c>
      <c r="X50" s="18">
        <f>IFERROR(VLOOKUP(Vertailu[[#This Row],[Y-tunnus]],'Suoritepäätös 2020'!$B:$N,COLUMN('Suoritepäätös 2020'!G:G),FALSE),0)</f>
        <v>110955</v>
      </c>
      <c r="Y50" s="18">
        <f>IFERROR(VLOOKUP(Vertailu[[#This Row],[Y-tunnus]],'1.2 Ohjaus-laskentataulu'!A:AY,COLUMN('1.2 Ohjaus-laskentataulu'!AS:AS),FALSE),0)</f>
        <v>107636</v>
      </c>
      <c r="Z50" s="18">
        <f>Vertailu[[#This Row],[Perusrahoitus 2021, €]]-Vertailu[[#This Row],[Perusrahoitus 2020, €]]</f>
        <v>-3319</v>
      </c>
      <c r="AA50" s="43">
        <f>IFERROR(Vertailu[[#This Row],[Perusrahoituksen muutos, €]]/Vertailu[[#This Row],[Perusrahoitus 2020, €]],0)</f>
        <v>-2.9913027804064712E-2</v>
      </c>
      <c r="AB50" s="18">
        <f>IFERROR(VLOOKUP(Vertailu[[#This Row],[Y-tunnus]],'Suoritepäätös 2020'!$B:$N,COLUMN('Suoritepäätös 2020'!M:M),FALSE),0)</f>
        <v>28262</v>
      </c>
      <c r="AC50" s="18">
        <f>IFERROR(VLOOKUP(Vertailu[[#This Row],[Y-tunnus]],'1.2 Ohjaus-laskentataulu'!A:AY,COLUMN('1.2 Ohjaus-laskentataulu'!O:O),FALSE),0)</f>
        <v>33632</v>
      </c>
      <c r="AD50" s="18">
        <f>Vertailu[[#This Row],[Suoritusrahoitus 2021, €]]-Vertailu[[#This Row],[Suoritusrahoitus 2020, €]]</f>
        <v>5370</v>
      </c>
      <c r="AE50" s="43">
        <f>IFERROR(Vertailu[[#This Row],[Suoritusrahoituksen muutos, €]]/Vertailu[[#This Row],[Suoritusrahoitus 2020, €]],0)</f>
        <v>0.19000778430401247</v>
      </c>
      <c r="AF50" s="18">
        <f>IFERROR(VLOOKUP(Vertailu[[#This Row],[Y-tunnus]],'Suoritepäätös 2020'!$Q:$AC,COLUMN('Suoritepäätös 2020'!K:K),FALSE),0)</f>
        <v>41651</v>
      </c>
      <c r="AG50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17372</v>
      </c>
      <c r="AH50" s="18">
        <f>Vertailu[[#This Row],[Vaikuttavuusrahoitus 2021, €]]-Vertailu[[#This Row],[Vaikuttavuusrahoitus 2020, €]]</f>
        <v>-24279</v>
      </c>
      <c r="AI50" s="43">
        <f>IFERROR(Vertailu[[#This Row],[Vaikuttavuusrahoituksen muutos, €]]/Vertailu[[#This Row],[Vaikuttavuusrahoitus 2020, €]],0)</f>
        <v>-0.5829151761062159</v>
      </c>
    </row>
    <row r="51" spans="1:35" ht="12.75" customHeight="1" x14ac:dyDescent="0.25">
      <c r="A51" s="22" t="s">
        <v>340</v>
      </c>
      <c r="B51" s="236" t="s">
        <v>56</v>
      </c>
      <c r="C51" s="142" t="s">
        <v>216</v>
      </c>
      <c r="D51" s="170" t="s">
        <v>392</v>
      </c>
      <c r="E51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0.69422901500335421</v>
      </c>
      <c r="F51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0.75338584093202765</v>
      </c>
      <c r="G51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0.16488782091099147</v>
      </c>
      <c r="H51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8.1726338156980924E-2</v>
      </c>
      <c r="I51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6.1473407232040284E-2</v>
      </c>
      <c r="J51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4.7786883985182398E-3</v>
      </c>
      <c r="K51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1.5474242526422396E-2</v>
      </c>
      <c r="L51" s="18">
        <f>IFERROR(VLOOKUP(Vertailu[[#This Row],[Y-tunnus]],'Suoritepäätös 2020'!$Q:$AC,COLUMN('Suoritepäätös 2020'!L:L),FALSE)-VLOOKUP(Vertailu[[#This Row],[Y-tunnus]],'Suoritepäätös 2020'!$B:$N,COLUMN('Suoritepäätös 2020'!F:F),FALSE),0)</f>
        <v>643735</v>
      </c>
      <c r="M51" s="18">
        <f>IFERROR(VLOOKUP(Vertailu[[#This Row],[Y-tunnus]],'1.2 Ohjaus-laskentataulu'!A:AY,COLUMN('1.2 Ohjaus-laskentataulu'!Z:Z),FALSE),0)</f>
        <v>795211</v>
      </c>
      <c r="N51" s="18">
        <f>IFERROR(Vertailu[[#This Row],[Rahoitus pl. hark. kor. 2021 ilman alv, €]]-Vertailu[[#This Row],[Rahoitus pl. hark. kor. 2020 ilman alv, €]],0)</f>
        <v>151476</v>
      </c>
      <c r="O51" s="43">
        <f>IFERROR(Vertailu[[#This Row],[Muutos, € 1]]/Vertailu[[#This Row],[Rahoitus pl. hark. kor. 2020 ilman alv, €]],0)</f>
        <v>0.23530800717686626</v>
      </c>
      <c r="P51" s="135">
        <f>IFERROR(VLOOKUP(Vertailu[[#This Row],[Y-tunnus]],'Suoritepäätös 2020'!$Q:$AC,COLUMN('Suoritepäätös 2020'!L:L),FALSE),0)</f>
        <v>843735</v>
      </c>
      <c r="Q51" s="138">
        <f>IFERROR(VLOOKUP(Vertailu[[#This Row],[Y-tunnus]],'1.2 Ohjaus-laskentataulu'!A:AY,COLUMN('1.2 Ohjaus-laskentataulu'!AV:AV),FALSE),0)</f>
        <v>845211</v>
      </c>
      <c r="R51" s="18">
        <f>IFERROR(Vertailu[[#This Row],[Rahoitus ml. hark. kor. 
2021 ilman alv, €]]-Vertailu[[#This Row],[Rahoitus ml. hark. kor. 
2020 ilman alv, €]],0)</f>
        <v>1476</v>
      </c>
      <c r="S51" s="16">
        <f>IFERROR(Vertailu[[#This Row],[Muutos, € 2]]/Vertailu[[#This Row],[Rahoitus ml. hark. kor. 
2020 ilman alv, €]],0)</f>
        <v>1.7493644331454782E-3</v>
      </c>
      <c r="T51" s="138">
        <f>IFERROR(VLOOKUP(Vertailu[[#This Row],[Y-tunnus]],'Suoritepäätös 2020'!$Q:$AC,COLUMN('Suoritepäätös 2020'!L:L),FALSE)+VLOOKUP(Vertailu[[#This Row],[Y-tunnus]],'Suoritepäätös 2020'!$Q:$AC,COLUMN('Suoritepäätös 2020'!M:M),FALSE),0)</f>
        <v>881110</v>
      </c>
      <c r="U51" s="135">
        <f>IFERROR(VLOOKUP(Vertailu[[#This Row],[Y-tunnus]],'1.2 Ohjaus-laskentataulu'!A:AY,COLUMN('1.2 Ohjaus-laskentataulu'!AX:AX),FALSE),0)</f>
        <v>874704</v>
      </c>
      <c r="V51" s="141">
        <f>IFERROR(Vertailu[[#This Row],[Rahoitus ml. hark. kor. + alv 2021, €]]-Vertailu[[#This Row],[Rahoitus ml. hark. kor. + alv 2020, €]],0)</f>
        <v>-6406</v>
      </c>
      <c r="W51" s="43">
        <f>IFERROR(Vertailu[[#This Row],[Muutos, € 3]]/Vertailu[[#This Row],[Rahoitus ml. hark. kor. + alv 2020, €]],0)</f>
        <v>-7.2703748680641462E-3</v>
      </c>
      <c r="X51" s="18">
        <f>IFERROR(VLOOKUP(Vertailu[[#This Row],[Y-tunnus]],'Suoritepäätös 2020'!$B:$N,COLUMN('Suoritepäätös 2020'!G:G),FALSE),0)</f>
        <v>689853</v>
      </c>
      <c r="Y51" s="18">
        <f>IFERROR(VLOOKUP(Vertailu[[#This Row],[Y-tunnus]],'1.2 Ohjaus-laskentataulu'!A:AY,COLUMN('1.2 Ohjaus-laskentataulu'!AS:AS),FALSE),0)</f>
        <v>636770</v>
      </c>
      <c r="Z51" s="18">
        <f>Vertailu[[#This Row],[Perusrahoitus 2021, €]]-Vertailu[[#This Row],[Perusrahoitus 2020, €]]</f>
        <v>-53083</v>
      </c>
      <c r="AA51" s="43">
        <f>IFERROR(Vertailu[[#This Row],[Perusrahoituksen muutos, €]]/Vertailu[[#This Row],[Perusrahoitus 2020, €]],0)</f>
        <v>-7.6948277386631639E-2</v>
      </c>
      <c r="AB51" s="18">
        <f>IFERROR(VLOOKUP(Vertailu[[#This Row],[Y-tunnus]],'Suoritepäätös 2020'!$B:$N,COLUMN('Suoritepäätös 2020'!M:M),FALSE),0)</f>
        <v>116151</v>
      </c>
      <c r="AC51" s="18">
        <f>IFERROR(VLOOKUP(Vertailu[[#This Row],[Y-tunnus]],'1.2 Ohjaus-laskentataulu'!A:AY,COLUMN('1.2 Ohjaus-laskentataulu'!O:O),FALSE),0)</f>
        <v>139365</v>
      </c>
      <c r="AD51" s="18">
        <f>Vertailu[[#This Row],[Suoritusrahoitus 2021, €]]-Vertailu[[#This Row],[Suoritusrahoitus 2020, €]]</f>
        <v>23214</v>
      </c>
      <c r="AE51" s="43">
        <f>IFERROR(Vertailu[[#This Row],[Suoritusrahoituksen muutos, €]]/Vertailu[[#This Row],[Suoritusrahoitus 2020, €]],0)</f>
        <v>0.19986052638375906</v>
      </c>
      <c r="AF51" s="18">
        <f>IFERROR(VLOOKUP(Vertailu[[#This Row],[Y-tunnus]],'Suoritepäätös 2020'!$Q:$AC,COLUMN('Suoritepäätös 2020'!K:K),FALSE),0)</f>
        <v>37731</v>
      </c>
      <c r="AG51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69076</v>
      </c>
      <c r="AH51" s="18">
        <f>Vertailu[[#This Row],[Vaikuttavuusrahoitus 2021, €]]-Vertailu[[#This Row],[Vaikuttavuusrahoitus 2020, €]]</f>
        <v>31345</v>
      </c>
      <c r="AI51" s="43">
        <f>IFERROR(Vertailu[[#This Row],[Vaikuttavuusrahoituksen muutos, €]]/Vertailu[[#This Row],[Vaikuttavuusrahoitus 2020, €]],0)</f>
        <v>0.83074925127878929</v>
      </c>
    </row>
    <row r="52" spans="1:35" ht="12.75" customHeight="1" x14ac:dyDescent="0.25">
      <c r="A52" s="22" t="s">
        <v>339</v>
      </c>
      <c r="B52" s="236" t="s">
        <v>57</v>
      </c>
      <c r="C52" s="142" t="s">
        <v>274</v>
      </c>
      <c r="D52" s="170" t="s">
        <v>391</v>
      </c>
      <c r="E52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0.70559529826214495</v>
      </c>
      <c r="F52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0.70559529826214495</v>
      </c>
      <c r="G52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0.19405517660048704</v>
      </c>
      <c r="H52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0.100349525137368</v>
      </c>
      <c r="I52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7.2181603570794131E-2</v>
      </c>
      <c r="J52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7.0787734787993595E-3</v>
      </c>
      <c r="K52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2.1089148087774519E-2</v>
      </c>
      <c r="L52" s="18">
        <f>IFERROR(VLOOKUP(Vertailu[[#This Row],[Y-tunnus]],'Suoritepäätös 2020'!$Q:$AC,COLUMN('Suoritepäätös 2020'!L:L),FALSE)-VLOOKUP(Vertailu[[#This Row],[Y-tunnus]],'Suoritepäätös 2020'!$B:$N,COLUMN('Suoritepäätös 2020'!F:F),FALSE),0)</f>
        <v>24035679</v>
      </c>
      <c r="M52" s="18">
        <f>IFERROR(VLOOKUP(Vertailu[[#This Row],[Y-tunnus]],'1.2 Ohjaus-laskentataulu'!A:AY,COLUMN('1.2 Ohjaus-laskentataulu'!Z:Z),FALSE),0)</f>
        <v>24481501</v>
      </c>
      <c r="N52" s="18">
        <f>IFERROR(Vertailu[[#This Row],[Rahoitus pl. hark. kor. 2021 ilman alv, €]]-Vertailu[[#This Row],[Rahoitus pl. hark. kor. 2020 ilman alv, €]],0)</f>
        <v>445822</v>
      </c>
      <c r="O52" s="43">
        <f>IFERROR(Vertailu[[#This Row],[Muutos, € 1]]/Vertailu[[#This Row],[Rahoitus pl. hark. kor. 2020 ilman alv, €]],0)</f>
        <v>1.8548342237388011E-2</v>
      </c>
      <c r="P52" s="135">
        <f>IFERROR(VLOOKUP(Vertailu[[#This Row],[Y-tunnus]],'Suoritepäätös 2020'!$Q:$AC,COLUMN('Suoritepäätös 2020'!L:L),FALSE),0)</f>
        <v>24125679</v>
      </c>
      <c r="Q52" s="138">
        <f>IFERROR(VLOOKUP(Vertailu[[#This Row],[Y-tunnus]],'1.2 Ohjaus-laskentataulu'!A:AY,COLUMN('1.2 Ohjaus-laskentataulu'!AV:AV),FALSE),0)</f>
        <v>24481501</v>
      </c>
      <c r="R52" s="18">
        <f>IFERROR(Vertailu[[#This Row],[Rahoitus ml. hark. kor. 
2021 ilman alv, €]]-Vertailu[[#This Row],[Rahoitus ml. hark. kor. 
2020 ilman alv, €]],0)</f>
        <v>355822</v>
      </c>
      <c r="S52" s="16">
        <f>IFERROR(Vertailu[[#This Row],[Muutos, € 2]]/Vertailu[[#This Row],[Rahoitus ml. hark. kor. 
2020 ilman alv, €]],0)</f>
        <v>1.4748683342756903E-2</v>
      </c>
      <c r="T52" s="138">
        <f>IFERROR(VLOOKUP(Vertailu[[#This Row],[Y-tunnus]],'Suoritepäätös 2020'!$Q:$AC,COLUMN('Suoritepäätös 2020'!L:L),FALSE)+VLOOKUP(Vertailu[[#This Row],[Y-tunnus]],'Suoritepäätös 2020'!$Q:$AC,COLUMN('Suoritepäätös 2020'!M:M),FALSE),0)</f>
        <v>24125679</v>
      </c>
      <c r="U52" s="135">
        <f>IFERROR(VLOOKUP(Vertailu[[#This Row],[Y-tunnus]],'1.2 Ohjaus-laskentataulu'!A:AY,COLUMN('1.2 Ohjaus-laskentataulu'!AX:AX),FALSE),0)</f>
        <v>24481501</v>
      </c>
      <c r="V52" s="141">
        <f>IFERROR(Vertailu[[#This Row],[Rahoitus ml. hark. kor. + alv 2021, €]]-Vertailu[[#This Row],[Rahoitus ml. hark. kor. + alv 2020, €]],0)</f>
        <v>355822</v>
      </c>
      <c r="W52" s="43">
        <f>IFERROR(Vertailu[[#This Row],[Muutos, € 3]]/Vertailu[[#This Row],[Rahoitus ml. hark. kor. + alv 2020, €]],0)</f>
        <v>1.4748683342756903E-2</v>
      </c>
      <c r="X52" s="18">
        <f>IFERROR(VLOOKUP(Vertailu[[#This Row],[Y-tunnus]],'Suoritepäätös 2020'!$B:$N,COLUMN('Suoritepäätös 2020'!G:G),FALSE),0)</f>
        <v>16431619</v>
      </c>
      <c r="Y52" s="18">
        <f>IFERROR(VLOOKUP(Vertailu[[#This Row],[Y-tunnus]],'1.2 Ohjaus-laskentataulu'!A:AY,COLUMN('1.2 Ohjaus-laskentataulu'!AS:AS),FALSE),0)</f>
        <v>17274032</v>
      </c>
      <c r="Z52" s="18">
        <f>Vertailu[[#This Row],[Perusrahoitus 2021, €]]-Vertailu[[#This Row],[Perusrahoitus 2020, €]]</f>
        <v>842413</v>
      </c>
      <c r="AA52" s="43">
        <f>IFERROR(Vertailu[[#This Row],[Perusrahoituksen muutos, €]]/Vertailu[[#This Row],[Perusrahoitus 2020, €]],0)</f>
        <v>5.1267802643184458E-2</v>
      </c>
      <c r="AB52" s="18">
        <f>IFERROR(VLOOKUP(Vertailu[[#This Row],[Y-tunnus]],'Suoritepäätös 2020'!$B:$N,COLUMN('Suoritepäätös 2020'!M:M),FALSE),0)</f>
        <v>4804871</v>
      </c>
      <c r="AC52" s="18">
        <f>IFERROR(VLOOKUP(Vertailu[[#This Row],[Y-tunnus]],'1.2 Ohjaus-laskentataulu'!A:AY,COLUMN('1.2 Ohjaus-laskentataulu'!O:O),FALSE),0)</f>
        <v>4750762</v>
      </c>
      <c r="AD52" s="18">
        <f>Vertailu[[#This Row],[Suoritusrahoitus 2021, €]]-Vertailu[[#This Row],[Suoritusrahoitus 2020, €]]</f>
        <v>-54109</v>
      </c>
      <c r="AE52" s="43">
        <f>IFERROR(Vertailu[[#This Row],[Suoritusrahoituksen muutos, €]]/Vertailu[[#This Row],[Suoritusrahoitus 2020, €]],0)</f>
        <v>-1.1261280479746491E-2</v>
      </c>
      <c r="AF52" s="18">
        <f>IFERROR(VLOOKUP(Vertailu[[#This Row],[Y-tunnus]],'Suoritepäätös 2020'!$Q:$AC,COLUMN('Suoritepäätös 2020'!K:K),FALSE),0)</f>
        <v>2889189</v>
      </c>
      <c r="AG52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2456707</v>
      </c>
      <c r="AH52" s="18">
        <f>Vertailu[[#This Row],[Vaikuttavuusrahoitus 2021, €]]-Vertailu[[#This Row],[Vaikuttavuusrahoitus 2020, €]]</f>
        <v>-432482</v>
      </c>
      <c r="AI52" s="43">
        <f>IFERROR(Vertailu[[#This Row],[Vaikuttavuusrahoituksen muutos, €]]/Vertailu[[#This Row],[Vaikuttavuusrahoitus 2020, €]],0)</f>
        <v>-0.14968975722945088</v>
      </c>
    </row>
    <row r="53" spans="1:35" ht="12.75" customHeight="1" x14ac:dyDescent="0.25">
      <c r="A53" s="22" t="s">
        <v>325</v>
      </c>
      <c r="B53" s="236" t="s">
        <v>525</v>
      </c>
      <c r="C53" s="142" t="s">
        <v>323</v>
      </c>
      <c r="D53" s="170" t="s">
        <v>392</v>
      </c>
      <c r="E53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0.69419347222702088</v>
      </c>
      <c r="F53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0.69419347222702088</v>
      </c>
      <c r="G53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0.23072072694606641</v>
      </c>
      <c r="H53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7.5085800826912671E-2</v>
      </c>
      <c r="I53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5.0995347176634537E-2</v>
      </c>
      <c r="J53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5.2689769547040735E-3</v>
      </c>
      <c r="K53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1.882147669557406E-2</v>
      </c>
      <c r="L53" s="18">
        <f>IFERROR(VLOOKUP(Vertailu[[#This Row],[Y-tunnus]],'Suoritepäätös 2020'!$Q:$AC,COLUMN('Suoritepäätös 2020'!L:L),FALSE)-VLOOKUP(Vertailu[[#This Row],[Y-tunnus]],'Suoritepäätös 2020'!$B:$N,COLUMN('Suoritepäätös 2020'!F:F),FALSE),0)</f>
        <v>708150</v>
      </c>
      <c r="M53" s="18">
        <f>IFERROR(VLOOKUP(Vertailu[[#This Row],[Y-tunnus]],'1.2 Ohjaus-laskentataulu'!A:AY,COLUMN('1.2 Ohjaus-laskentataulu'!Z:Z),FALSE),0)</f>
        <v>694632</v>
      </c>
      <c r="N53" s="18">
        <f>IFERROR(Vertailu[[#This Row],[Rahoitus pl. hark. kor. 2021 ilman alv, €]]-Vertailu[[#This Row],[Rahoitus pl. hark. kor. 2020 ilman alv, €]],0)</f>
        <v>-13518</v>
      </c>
      <c r="O53" s="43">
        <f>IFERROR(Vertailu[[#This Row],[Muutos, € 1]]/Vertailu[[#This Row],[Rahoitus pl. hark. kor. 2020 ilman alv, €]],0)</f>
        <v>-1.9089176022029232E-2</v>
      </c>
      <c r="P53" s="135">
        <f>IFERROR(VLOOKUP(Vertailu[[#This Row],[Y-tunnus]],'Suoritepäätös 2020'!$Q:$AC,COLUMN('Suoritepäätös 2020'!L:L),FALSE),0)</f>
        <v>708150</v>
      </c>
      <c r="Q53" s="138">
        <f>IFERROR(VLOOKUP(Vertailu[[#This Row],[Y-tunnus]],'1.2 Ohjaus-laskentataulu'!A:AY,COLUMN('1.2 Ohjaus-laskentataulu'!AV:AV),FALSE),0)</f>
        <v>694632</v>
      </c>
      <c r="R53" s="18">
        <f>IFERROR(Vertailu[[#This Row],[Rahoitus ml. hark. kor. 
2021 ilman alv, €]]-Vertailu[[#This Row],[Rahoitus ml. hark. kor. 
2020 ilman alv, €]],0)</f>
        <v>-13518</v>
      </c>
      <c r="S53" s="16">
        <f>IFERROR(Vertailu[[#This Row],[Muutos, € 2]]/Vertailu[[#This Row],[Rahoitus ml. hark. kor. 
2020 ilman alv, €]],0)</f>
        <v>-1.9089176022029232E-2</v>
      </c>
      <c r="T53" s="138">
        <f>IFERROR(VLOOKUP(Vertailu[[#This Row],[Y-tunnus]],'Suoritepäätös 2020'!$Q:$AC,COLUMN('Suoritepäätös 2020'!L:L),FALSE)+VLOOKUP(Vertailu[[#This Row],[Y-tunnus]],'Suoritepäätös 2020'!$Q:$AC,COLUMN('Suoritepäätös 2020'!M:M),FALSE),0)</f>
        <v>724160</v>
      </c>
      <c r="U53" s="135">
        <f>IFERROR(VLOOKUP(Vertailu[[#This Row],[Y-tunnus]],'1.2 Ohjaus-laskentataulu'!A:AY,COLUMN('1.2 Ohjaus-laskentataulu'!AX:AX),FALSE),0)</f>
        <v>706917</v>
      </c>
      <c r="V53" s="141">
        <f>IFERROR(Vertailu[[#This Row],[Rahoitus ml. hark. kor. + alv 2021, €]]-Vertailu[[#This Row],[Rahoitus ml. hark. kor. + alv 2020, €]],0)</f>
        <v>-17243</v>
      </c>
      <c r="W53" s="43">
        <f>IFERROR(Vertailu[[#This Row],[Muutos, € 3]]/Vertailu[[#This Row],[Rahoitus ml. hark. kor. + alv 2020, €]],0)</f>
        <v>-2.381103623508617E-2</v>
      </c>
      <c r="X53" s="18">
        <f>IFERROR(VLOOKUP(Vertailu[[#This Row],[Y-tunnus]],'Suoritepäätös 2020'!$B:$N,COLUMN('Suoritepäätös 2020'!G:G),FALSE),0)</f>
        <v>451491</v>
      </c>
      <c r="Y53" s="18">
        <f>IFERROR(VLOOKUP(Vertailu[[#This Row],[Y-tunnus]],'1.2 Ohjaus-laskentataulu'!A:AY,COLUMN('1.2 Ohjaus-laskentataulu'!AS:AS),FALSE),0)</f>
        <v>482209</v>
      </c>
      <c r="Z53" s="18">
        <f>Vertailu[[#This Row],[Perusrahoitus 2021, €]]-Vertailu[[#This Row],[Perusrahoitus 2020, €]]</f>
        <v>30718</v>
      </c>
      <c r="AA53" s="43">
        <f>IFERROR(Vertailu[[#This Row],[Perusrahoituksen muutos, €]]/Vertailu[[#This Row],[Perusrahoitus 2020, €]],0)</f>
        <v>6.8036793645942006E-2</v>
      </c>
      <c r="AB53" s="18">
        <f>IFERROR(VLOOKUP(Vertailu[[#This Row],[Y-tunnus]],'Suoritepäätös 2020'!$B:$N,COLUMN('Suoritepäätös 2020'!M:M),FALSE),0)</f>
        <v>191362</v>
      </c>
      <c r="AC53" s="18">
        <f>IFERROR(VLOOKUP(Vertailu[[#This Row],[Y-tunnus]],'1.2 Ohjaus-laskentataulu'!A:AY,COLUMN('1.2 Ohjaus-laskentataulu'!O:O),FALSE),0)</f>
        <v>160266</v>
      </c>
      <c r="AD53" s="18">
        <f>Vertailu[[#This Row],[Suoritusrahoitus 2021, €]]-Vertailu[[#This Row],[Suoritusrahoitus 2020, €]]</f>
        <v>-31096</v>
      </c>
      <c r="AE53" s="43">
        <f>IFERROR(Vertailu[[#This Row],[Suoritusrahoituksen muutos, €]]/Vertailu[[#This Row],[Suoritusrahoitus 2020, €]],0)</f>
        <v>-0.16249830164818513</v>
      </c>
      <c r="AF53" s="18">
        <f>IFERROR(VLOOKUP(Vertailu[[#This Row],[Y-tunnus]],'Suoritepäätös 2020'!$Q:$AC,COLUMN('Suoritepäätös 2020'!K:K),FALSE),0)</f>
        <v>65297</v>
      </c>
      <c r="AG53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52157</v>
      </c>
      <c r="AH53" s="18">
        <f>Vertailu[[#This Row],[Vaikuttavuusrahoitus 2021, €]]-Vertailu[[#This Row],[Vaikuttavuusrahoitus 2020, €]]</f>
        <v>-13140</v>
      </c>
      <c r="AI53" s="43">
        <f>IFERROR(Vertailu[[#This Row],[Vaikuttavuusrahoituksen muutos, €]]/Vertailu[[#This Row],[Vaikuttavuusrahoitus 2020, €]],0)</f>
        <v>-0.20123435992465197</v>
      </c>
    </row>
    <row r="54" spans="1:35" ht="12.75" customHeight="1" x14ac:dyDescent="0.25">
      <c r="A54" s="22" t="s">
        <v>324</v>
      </c>
      <c r="B54" s="236" t="s">
        <v>59</v>
      </c>
      <c r="C54" s="142" t="s">
        <v>323</v>
      </c>
      <c r="D54" s="170" t="s">
        <v>391</v>
      </c>
      <c r="E54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0.67522578471711647</v>
      </c>
      <c r="F54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0.67795933965063648</v>
      </c>
      <c r="G54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0.20779529590489942</v>
      </c>
      <c r="H54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0.11424536444446413</v>
      </c>
      <c r="I54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8.4713767040773838E-2</v>
      </c>
      <c r="J54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6.7664827134138236E-3</v>
      </c>
      <c r="K54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2.276511469027646E-2</v>
      </c>
      <c r="L54" s="18">
        <f>IFERROR(VLOOKUP(Vertailu[[#This Row],[Y-tunnus]],'Suoritepäätös 2020'!$Q:$AC,COLUMN('Suoritepäätös 2020'!L:L),FALSE)-VLOOKUP(Vertailu[[#This Row],[Y-tunnus]],'Suoritepäätös 2020'!$B:$N,COLUMN('Suoritepäätös 2020'!F:F),FALSE),0)</f>
        <v>27787791</v>
      </c>
      <c r="M54" s="18">
        <f>IFERROR(VLOOKUP(Vertailu[[#This Row],[Y-tunnus]],'1.2 Ohjaus-laskentataulu'!A:AY,COLUMN('1.2 Ohjaus-laskentataulu'!Z:Z),FALSE),0)</f>
        <v>28821096</v>
      </c>
      <c r="N54" s="18">
        <f>IFERROR(Vertailu[[#This Row],[Rahoitus pl. hark. kor. 2021 ilman alv, €]]-Vertailu[[#This Row],[Rahoitus pl. hark. kor. 2020 ilman alv, €]],0)</f>
        <v>1033305</v>
      </c>
      <c r="O54" s="43">
        <f>IFERROR(Vertailu[[#This Row],[Muutos, € 1]]/Vertailu[[#This Row],[Rahoitus pl. hark. kor. 2020 ilman alv, €]],0)</f>
        <v>3.718557549248877E-2</v>
      </c>
      <c r="P54" s="135">
        <f>IFERROR(VLOOKUP(Vertailu[[#This Row],[Y-tunnus]],'Suoritepäätös 2020'!$Q:$AC,COLUMN('Suoritepäätös 2020'!L:L),FALSE),0)</f>
        <v>27787791</v>
      </c>
      <c r="Q54" s="138">
        <f>IFERROR(VLOOKUP(Vertailu[[#This Row],[Y-tunnus]],'1.2 Ohjaus-laskentataulu'!A:AY,COLUMN('1.2 Ohjaus-laskentataulu'!AV:AV),FALSE),0)</f>
        <v>28900096</v>
      </c>
      <c r="R54" s="18">
        <f>IFERROR(Vertailu[[#This Row],[Rahoitus ml. hark. kor. 
2021 ilman alv, €]]-Vertailu[[#This Row],[Rahoitus ml. hark. kor. 
2020 ilman alv, €]],0)</f>
        <v>1112305</v>
      </c>
      <c r="S54" s="16">
        <f>IFERROR(Vertailu[[#This Row],[Muutos, € 2]]/Vertailu[[#This Row],[Rahoitus ml. hark. kor. 
2020 ilman alv, €]],0)</f>
        <v>4.0028550668169342E-2</v>
      </c>
      <c r="T54" s="138">
        <f>IFERROR(VLOOKUP(Vertailu[[#This Row],[Y-tunnus]],'Suoritepäätös 2020'!$Q:$AC,COLUMN('Suoritepäätös 2020'!L:L),FALSE)+VLOOKUP(Vertailu[[#This Row],[Y-tunnus]],'Suoritepäätös 2020'!$Q:$AC,COLUMN('Suoritepäätös 2020'!M:M),FALSE),0)</f>
        <v>27787791</v>
      </c>
      <c r="U54" s="135">
        <f>IFERROR(VLOOKUP(Vertailu[[#This Row],[Y-tunnus]],'1.2 Ohjaus-laskentataulu'!A:AY,COLUMN('1.2 Ohjaus-laskentataulu'!AX:AX),FALSE),0)</f>
        <v>28900096</v>
      </c>
      <c r="V54" s="141">
        <f>IFERROR(Vertailu[[#This Row],[Rahoitus ml. hark. kor. + alv 2021, €]]-Vertailu[[#This Row],[Rahoitus ml. hark. kor. + alv 2020, €]],0)</f>
        <v>1112305</v>
      </c>
      <c r="W54" s="43">
        <f>IFERROR(Vertailu[[#This Row],[Muutos, € 3]]/Vertailu[[#This Row],[Rahoitus ml. hark. kor. + alv 2020, €]],0)</f>
        <v>4.0028550668169342E-2</v>
      </c>
      <c r="X54" s="18">
        <f>IFERROR(VLOOKUP(Vertailu[[#This Row],[Y-tunnus]],'Suoritepäätös 2020'!$B:$N,COLUMN('Suoritepäätös 2020'!G:G),FALSE),0)</f>
        <v>18822754</v>
      </c>
      <c r="Y54" s="18">
        <f>IFERROR(VLOOKUP(Vertailu[[#This Row],[Y-tunnus]],'1.2 Ohjaus-laskentataulu'!A:AY,COLUMN('1.2 Ohjaus-laskentataulu'!AS:AS),FALSE),0)</f>
        <v>19593090</v>
      </c>
      <c r="Z54" s="18">
        <f>Vertailu[[#This Row],[Perusrahoitus 2021, €]]-Vertailu[[#This Row],[Perusrahoitus 2020, €]]</f>
        <v>770336</v>
      </c>
      <c r="AA54" s="43">
        <f>IFERROR(Vertailu[[#This Row],[Perusrahoituksen muutos, €]]/Vertailu[[#This Row],[Perusrahoitus 2020, €]],0)</f>
        <v>4.0925785886592368E-2</v>
      </c>
      <c r="AB54" s="18">
        <f>IFERROR(VLOOKUP(Vertailu[[#This Row],[Y-tunnus]],'Suoritepäätös 2020'!$B:$N,COLUMN('Suoritepäätös 2020'!M:M),FALSE),0)</f>
        <v>5917244</v>
      </c>
      <c r="AC54" s="18">
        <f>IFERROR(VLOOKUP(Vertailu[[#This Row],[Y-tunnus]],'1.2 Ohjaus-laskentataulu'!A:AY,COLUMN('1.2 Ohjaus-laskentataulu'!O:O),FALSE),0)</f>
        <v>6005304</v>
      </c>
      <c r="AD54" s="18">
        <f>Vertailu[[#This Row],[Suoritusrahoitus 2021, €]]-Vertailu[[#This Row],[Suoritusrahoitus 2020, €]]</f>
        <v>88060</v>
      </c>
      <c r="AE54" s="43">
        <f>IFERROR(Vertailu[[#This Row],[Suoritusrahoituksen muutos, €]]/Vertailu[[#This Row],[Suoritusrahoitus 2020, €]],0)</f>
        <v>1.4881928140870986E-2</v>
      </c>
      <c r="AF54" s="18">
        <f>IFERROR(VLOOKUP(Vertailu[[#This Row],[Y-tunnus]],'Suoritepäätös 2020'!$Q:$AC,COLUMN('Suoritepäätös 2020'!K:K),FALSE),0)</f>
        <v>3047793</v>
      </c>
      <c r="AG54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3301702</v>
      </c>
      <c r="AH54" s="18">
        <f>Vertailu[[#This Row],[Vaikuttavuusrahoitus 2021, €]]-Vertailu[[#This Row],[Vaikuttavuusrahoitus 2020, €]]</f>
        <v>253909</v>
      </c>
      <c r="AI54" s="43">
        <f>IFERROR(Vertailu[[#This Row],[Vaikuttavuusrahoituksen muutos, €]]/Vertailu[[#This Row],[Vaikuttavuusrahoitus 2020, €]],0)</f>
        <v>8.330913549575053E-2</v>
      </c>
    </row>
    <row r="55" spans="1:35" ht="12.75" customHeight="1" x14ac:dyDescent="0.25">
      <c r="A55" s="22" t="s">
        <v>318</v>
      </c>
      <c r="B55" s="236" t="s">
        <v>60</v>
      </c>
      <c r="C55" s="142" t="s">
        <v>216</v>
      </c>
      <c r="D55" s="170" t="s">
        <v>391</v>
      </c>
      <c r="E55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0.69722173729632908</v>
      </c>
      <c r="F55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0.69722173729632908</v>
      </c>
      <c r="G55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0.21995828750283214</v>
      </c>
      <c r="H55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8.2819975200838794E-2</v>
      </c>
      <c r="I55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5.7237530141451019E-2</v>
      </c>
      <c r="J55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7.1339801141840926E-3</v>
      </c>
      <c r="K55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1.8448464945203687E-2</v>
      </c>
      <c r="L55" s="18">
        <f>IFERROR(VLOOKUP(Vertailu[[#This Row],[Y-tunnus]],'Suoritepäätös 2020'!$Q:$AC,COLUMN('Suoritepäätös 2020'!L:L),FALSE)-VLOOKUP(Vertailu[[#This Row],[Y-tunnus]],'Suoritepäätös 2020'!$B:$N,COLUMN('Suoritepäätös 2020'!F:F),FALSE),0)</f>
        <v>51786771</v>
      </c>
      <c r="M55" s="18">
        <f>IFERROR(VLOOKUP(Vertailu[[#This Row],[Y-tunnus]],'1.2 Ohjaus-laskentataulu'!A:AY,COLUMN('1.2 Ohjaus-laskentataulu'!Z:Z),FALSE),0)</f>
        <v>56618044</v>
      </c>
      <c r="N55" s="18">
        <f>IFERROR(Vertailu[[#This Row],[Rahoitus pl. hark. kor. 2021 ilman alv, €]]-Vertailu[[#This Row],[Rahoitus pl. hark. kor. 2020 ilman alv, €]],0)</f>
        <v>4831273</v>
      </c>
      <c r="O55" s="43">
        <f>IFERROR(Vertailu[[#This Row],[Muutos, € 1]]/Vertailu[[#This Row],[Rahoitus pl. hark. kor. 2020 ilman alv, €]],0)</f>
        <v>9.3291643921958364E-2</v>
      </c>
      <c r="P55" s="135">
        <f>IFERROR(VLOOKUP(Vertailu[[#This Row],[Y-tunnus]],'Suoritepäätös 2020'!$Q:$AC,COLUMN('Suoritepäätös 2020'!L:L),FALSE),0)</f>
        <v>51831771</v>
      </c>
      <c r="Q55" s="138">
        <f>IFERROR(VLOOKUP(Vertailu[[#This Row],[Y-tunnus]],'1.2 Ohjaus-laskentataulu'!A:AY,COLUMN('1.2 Ohjaus-laskentataulu'!AV:AV),FALSE),0)</f>
        <v>56618044</v>
      </c>
      <c r="R55" s="18">
        <f>IFERROR(Vertailu[[#This Row],[Rahoitus ml. hark. kor. 
2021 ilman alv, €]]-Vertailu[[#This Row],[Rahoitus ml. hark. kor. 
2020 ilman alv, €]],0)</f>
        <v>4786273</v>
      </c>
      <c r="S55" s="16">
        <f>IFERROR(Vertailu[[#This Row],[Muutos, € 2]]/Vertailu[[#This Row],[Rahoitus ml. hark. kor. 
2020 ilman alv, €]],0)</f>
        <v>9.2342455363911835E-2</v>
      </c>
      <c r="T55" s="138">
        <f>IFERROR(VLOOKUP(Vertailu[[#This Row],[Y-tunnus]],'Suoritepäätös 2020'!$Q:$AC,COLUMN('Suoritepäätös 2020'!L:L),FALSE)+VLOOKUP(Vertailu[[#This Row],[Y-tunnus]],'Suoritepäätös 2020'!$Q:$AC,COLUMN('Suoritepäätös 2020'!M:M),FALSE),0)</f>
        <v>51831771</v>
      </c>
      <c r="U55" s="135">
        <f>IFERROR(VLOOKUP(Vertailu[[#This Row],[Y-tunnus]],'1.2 Ohjaus-laskentataulu'!A:AY,COLUMN('1.2 Ohjaus-laskentataulu'!AX:AX),FALSE),0)</f>
        <v>56618044</v>
      </c>
      <c r="V55" s="141">
        <f>IFERROR(Vertailu[[#This Row],[Rahoitus ml. hark. kor. + alv 2021, €]]-Vertailu[[#This Row],[Rahoitus ml. hark. kor. + alv 2020, €]],0)</f>
        <v>4786273</v>
      </c>
      <c r="W55" s="43">
        <f>IFERROR(Vertailu[[#This Row],[Muutos, € 3]]/Vertailu[[#This Row],[Rahoitus ml. hark. kor. + alv 2020, €]],0)</f>
        <v>9.2342455363911835E-2</v>
      </c>
      <c r="X55" s="18">
        <f>IFERROR(VLOOKUP(Vertailu[[#This Row],[Y-tunnus]],'Suoritepäätös 2020'!$B:$N,COLUMN('Suoritepäätös 2020'!G:G),FALSE),0)</f>
        <v>35338033</v>
      </c>
      <c r="Y55" s="18">
        <f>IFERROR(VLOOKUP(Vertailu[[#This Row],[Y-tunnus]],'1.2 Ohjaus-laskentataulu'!A:AY,COLUMN('1.2 Ohjaus-laskentataulu'!AS:AS),FALSE),0)</f>
        <v>39475331</v>
      </c>
      <c r="Z55" s="18">
        <f>Vertailu[[#This Row],[Perusrahoitus 2021, €]]-Vertailu[[#This Row],[Perusrahoitus 2020, €]]</f>
        <v>4137298</v>
      </c>
      <c r="AA55" s="43">
        <f>IFERROR(Vertailu[[#This Row],[Perusrahoituksen muutos, €]]/Vertailu[[#This Row],[Perusrahoitus 2020, €]],0)</f>
        <v>0.11707776717509999</v>
      </c>
      <c r="AB55" s="18">
        <f>IFERROR(VLOOKUP(Vertailu[[#This Row],[Y-tunnus]],'Suoritepäätös 2020'!$B:$N,COLUMN('Suoritepäätös 2020'!M:M),FALSE),0)</f>
        <v>11727524</v>
      </c>
      <c r="AC55" s="18">
        <f>IFERROR(VLOOKUP(Vertailu[[#This Row],[Y-tunnus]],'1.2 Ohjaus-laskentataulu'!A:AY,COLUMN('1.2 Ohjaus-laskentataulu'!O:O),FALSE),0)</f>
        <v>12453608</v>
      </c>
      <c r="AD55" s="18">
        <f>Vertailu[[#This Row],[Suoritusrahoitus 2021, €]]-Vertailu[[#This Row],[Suoritusrahoitus 2020, €]]</f>
        <v>726084</v>
      </c>
      <c r="AE55" s="43">
        <f>IFERROR(Vertailu[[#This Row],[Suoritusrahoituksen muutos, €]]/Vertailu[[#This Row],[Suoritusrahoitus 2020, €]],0)</f>
        <v>6.1912812968875609E-2</v>
      </c>
      <c r="AF55" s="18">
        <f>IFERROR(VLOOKUP(Vertailu[[#This Row],[Y-tunnus]],'Suoritepäätös 2020'!$Q:$AC,COLUMN('Suoritepäätös 2020'!K:K),FALSE),0)</f>
        <v>4766214</v>
      </c>
      <c r="AG55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4689105</v>
      </c>
      <c r="AH55" s="18">
        <f>Vertailu[[#This Row],[Vaikuttavuusrahoitus 2021, €]]-Vertailu[[#This Row],[Vaikuttavuusrahoitus 2020, €]]</f>
        <v>-77109</v>
      </c>
      <c r="AI55" s="43">
        <f>IFERROR(Vertailu[[#This Row],[Vaikuttavuusrahoituksen muutos, €]]/Vertailu[[#This Row],[Vaikuttavuusrahoitus 2020, €]],0)</f>
        <v>-1.6178249654757424E-2</v>
      </c>
    </row>
    <row r="56" spans="1:35" ht="12.75" customHeight="1" x14ac:dyDescent="0.25">
      <c r="A56" s="22" t="s">
        <v>338</v>
      </c>
      <c r="B56" s="236" t="s">
        <v>61</v>
      </c>
      <c r="C56" s="142" t="s">
        <v>216</v>
      </c>
      <c r="D56" s="170" t="s">
        <v>392</v>
      </c>
      <c r="E56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0.83430664249337205</v>
      </c>
      <c r="F56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0.84189875762627964</v>
      </c>
      <c r="G56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9.150725755592605E-2</v>
      </c>
      <c r="H56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6.6593984817794299E-2</v>
      </c>
      <c r="I56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3.3616367385488129E-2</v>
      </c>
      <c r="J56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7.6462722208556419E-3</v>
      </c>
      <c r="K56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2.5331345211450529E-2</v>
      </c>
      <c r="L56" s="18">
        <f>IFERROR(VLOOKUP(Vertailu[[#This Row],[Y-tunnus]],'Suoritepäätös 2020'!$Q:$AC,COLUMN('Suoritepäätös 2020'!L:L),FALSE)-VLOOKUP(Vertailu[[#This Row],[Y-tunnus]],'Suoritepäätös 2020'!$B:$N,COLUMN('Suoritepäätös 2020'!F:F),FALSE),0)</f>
        <v>1872949</v>
      </c>
      <c r="M56" s="18">
        <f>IFERROR(VLOOKUP(Vertailu[[#This Row],[Y-tunnus]],'1.2 Ohjaus-laskentataulu'!A:AY,COLUMN('1.2 Ohjaus-laskentataulu'!Z:Z),FALSE),0)</f>
        <v>1960734</v>
      </c>
      <c r="N56" s="18">
        <f>IFERROR(Vertailu[[#This Row],[Rahoitus pl. hark. kor. 2021 ilman alv, €]]-Vertailu[[#This Row],[Rahoitus pl. hark. kor. 2020 ilman alv, €]],0)</f>
        <v>87785</v>
      </c>
      <c r="O56" s="43">
        <f>IFERROR(Vertailu[[#This Row],[Muutos, € 1]]/Vertailu[[#This Row],[Rahoitus pl. hark. kor. 2020 ilman alv, €]],0)</f>
        <v>4.6869936127465296E-2</v>
      </c>
      <c r="P56" s="135">
        <f>IFERROR(VLOOKUP(Vertailu[[#This Row],[Y-tunnus]],'Suoritepäätös 2020'!$Q:$AC,COLUMN('Suoritepäätös 2020'!L:L),FALSE),0)</f>
        <v>2082949</v>
      </c>
      <c r="Q56" s="138">
        <f>IFERROR(VLOOKUP(Vertailu[[#This Row],[Y-tunnus]],'1.2 Ohjaus-laskentataulu'!A:AY,COLUMN('1.2 Ohjaus-laskentataulu'!AV:AV),FALSE),0)</f>
        <v>1975734</v>
      </c>
      <c r="R56" s="18">
        <f>IFERROR(Vertailu[[#This Row],[Rahoitus ml. hark. kor. 
2021 ilman alv, €]]-Vertailu[[#This Row],[Rahoitus ml. hark. kor. 
2020 ilman alv, €]],0)</f>
        <v>-107215</v>
      </c>
      <c r="S56" s="16">
        <f>IFERROR(Vertailu[[#This Row],[Muutos, € 2]]/Vertailu[[#This Row],[Rahoitus ml. hark. kor. 
2020 ilman alv, €]],0)</f>
        <v>-5.1472695682899583E-2</v>
      </c>
      <c r="T56" s="138">
        <f>IFERROR(VLOOKUP(Vertailu[[#This Row],[Y-tunnus]],'Suoritepäätös 2020'!$Q:$AC,COLUMN('Suoritepäätös 2020'!L:L),FALSE)+VLOOKUP(Vertailu[[#This Row],[Y-tunnus]],'Suoritepäätös 2020'!$Q:$AC,COLUMN('Suoritepäätös 2020'!M:M),FALSE),0)</f>
        <v>2376708</v>
      </c>
      <c r="U56" s="135">
        <f>IFERROR(VLOOKUP(Vertailu[[#This Row],[Y-tunnus]],'1.2 Ohjaus-laskentataulu'!A:AY,COLUMN('1.2 Ohjaus-laskentataulu'!AX:AX),FALSE),0)</f>
        <v>2284437</v>
      </c>
      <c r="V56" s="141">
        <f>IFERROR(Vertailu[[#This Row],[Rahoitus ml. hark. kor. + alv 2021, €]]-Vertailu[[#This Row],[Rahoitus ml. hark. kor. + alv 2020, €]],0)</f>
        <v>-92271</v>
      </c>
      <c r="W56" s="43">
        <f>IFERROR(Vertailu[[#This Row],[Muutos, € 3]]/Vertailu[[#This Row],[Rahoitus ml. hark. kor. + alv 2020, €]],0)</f>
        <v>-3.8823027481709994E-2</v>
      </c>
      <c r="X56" s="18">
        <f>IFERROR(VLOOKUP(Vertailu[[#This Row],[Y-tunnus]],'Suoritepäätös 2020'!$B:$N,COLUMN('Suoritepäätös 2020'!G:G),FALSE),0)</f>
        <v>1788153</v>
      </c>
      <c r="Y56" s="18">
        <f>IFERROR(VLOOKUP(Vertailu[[#This Row],[Y-tunnus]],'1.2 Ohjaus-laskentataulu'!A:AY,COLUMN('1.2 Ohjaus-laskentataulu'!AS:AS),FALSE),0)</f>
        <v>1663368</v>
      </c>
      <c r="Z56" s="18">
        <f>Vertailu[[#This Row],[Perusrahoitus 2021, €]]-Vertailu[[#This Row],[Perusrahoitus 2020, €]]</f>
        <v>-124785</v>
      </c>
      <c r="AA56" s="43">
        <f>IFERROR(Vertailu[[#This Row],[Perusrahoituksen muutos, €]]/Vertailu[[#This Row],[Perusrahoitus 2020, €]],0)</f>
        <v>-6.978429698129858E-2</v>
      </c>
      <c r="AB56" s="18">
        <f>IFERROR(VLOOKUP(Vertailu[[#This Row],[Y-tunnus]],'Suoritepäätös 2020'!$B:$N,COLUMN('Suoritepäätös 2020'!M:M),FALSE),0)</f>
        <v>166701</v>
      </c>
      <c r="AC56" s="18">
        <f>IFERROR(VLOOKUP(Vertailu[[#This Row],[Y-tunnus]],'1.2 Ohjaus-laskentataulu'!A:AY,COLUMN('1.2 Ohjaus-laskentataulu'!O:O),FALSE),0)</f>
        <v>180794</v>
      </c>
      <c r="AD56" s="18">
        <f>Vertailu[[#This Row],[Suoritusrahoitus 2021, €]]-Vertailu[[#This Row],[Suoritusrahoitus 2020, €]]</f>
        <v>14093</v>
      </c>
      <c r="AE56" s="43">
        <f>IFERROR(Vertailu[[#This Row],[Suoritusrahoituksen muutos, €]]/Vertailu[[#This Row],[Suoritusrahoitus 2020, €]],0)</f>
        <v>8.4540584639564251E-2</v>
      </c>
      <c r="AF56" s="18">
        <f>IFERROR(VLOOKUP(Vertailu[[#This Row],[Y-tunnus]],'Suoritepäätös 2020'!$Q:$AC,COLUMN('Suoritepäätös 2020'!K:K),FALSE),0)</f>
        <v>128095</v>
      </c>
      <c r="AG56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131572</v>
      </c>
      <c r="AH56" s="18">
        <f>Vertailu[[#This Row],[Vaikuttavuusrahoitus 2021, €]]-Vertailu[[#This Row],[Vaikuttavuusrahoitus 2020, €]]</f>
        <v>3477</v>
      </c>
      <c r="AI56" s="43">
        <f>IFERROR(Vertailu[[#This Row],[Vaikuttavuusrahoituksen muutos, €]]/Vertailu[[#This Row],[Vaikuttavuusrahoitus 2020, €]],0)</f>
        <v>2.7143916624380343E-2</v>
      </c>
    </row>
    <row r="57" spans="1:35" ht="12.75" customHeight="1" x14ac:dyDescent="0.25">
      <c r="A57" s="22" t="s">
        <v>337</v>
      </c>
      <c r="B57" s="236" t="s">
        <v>62</v>
      </c>
      <c r="C57" s="142" t="s">
        <v>312</v>
      </c>
      <c r="D57" s="170" t="s">
        <v>392</v>
      </c>
      <c r="E57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0.81686672483776857</v>
      </c>
      <c r="F57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0.81938628745681519</v>
      </c>
      <c r="G57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0.16471086318241671</v>
      </c>
      <c r="H57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1.5902849360768068E-2</v>
      </c>
      <c r="I57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1.0118983405194759E-2</v>
      </c>
      <c r="J57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1.2996743843249276E-3</v>
      </c>
      <c r="K57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4.4841915712483804E-3</v>
      </c>
      <c r="L57" s="18">
        <f>IFERROR(VLOOKUP(Vertailu[[#This Row],[Y-tunnus]],'Suoritepäätös 2020'!$Q:$AC,COLUMN('Suoritepäätös 2020'!L:L),FALSE)-VLOOKUP(Vertailu[[#This Row],[Y-tunnus]],'Suoritepäätös 2020'!$B:$N,COLUMN('Suoritepäätös 2020'!F:F),FALSE),0)</f>
        <v>21916695</v>
      </c>
      <c r="M57" s="18">
        <f>IFERROR(VLOOKUP(Vertailu[[#This Row],[Y-tunnus]],'1.2 Ohjaus-laskentataulu'!A:AY,COLUMN('1.2 Ohjaus-laskentataulu'!Z:Z),FALSE),0)</f>
        <v>23753657</v>
      </c>
      <c r="N57" s="18">
        <f>IFERROR(Vertailu[[#This Row],[Rahoitus pl. hark. kor. 2021 ilman alv, €]]-Vertailu[[#This Row],[Rahoitus pl. hark. kor. 2020 ilman alv, €]],0)</f>
        <v>1836962</v>
      </c>
      <c r="O57" s="43">
        <f>IFERROR(Vertailu[[#This Row],[Muutos, € 1]]/Vertailu[[#This Row],[Rahoitus pl. hark. kor. 2020 ilman alv, €]],0)</f>
        <v>8.3815648299161896E-2</v>
      </c>
      <c r="P57" s="135">
        <f>IFERROR(VLOOKUP(Vertailu[[#This Row],[Y-tunnus]],'Suoritepäätös 2020'!$Q:$AC,COLUMN('Suoritepäätös 2020'!L:L),FALSE),0)</f>
        <v>21916695</v>
      </c>
      <c r="Q57" s="138">
        <f>IFERROR(VLOOKUP(Vertailu[[#This Row],[Y-tunnus]],'1.2 Ohjaus-laskentataulu'!A:AY,COLUMN('1.2 Ohjaus-laskentataulu'!AV:AV),FALSE),0)</f>
        <v>23813657</v>
      </c>
      <c r="R57" s="18">
        <f>IFERROR(Vertailu[[#This Row],[Rahoitus ml. hark. kor. 
2021 ilman alv, €]]-Vertailu[[#This Row],[Rahoitus ml. hark. kor. 
2020 ilman alv, €]],0)</f>
        <v>1896962</v>
      </c>
      <c r="S57" s="16">
        <f>IFERROR(Vertailu[[#This Row],[Muutos, € 2]]/Vertailu[[#This Row],[Rahoitus ml. hark. kor. 
2020 ilman alv, €]],0)</f>
        <v>8.6553287345560087E-2</v>
      </c>
      <c r="T57" s="138">
        <f>IFERROR(VLOOKUP(Vertailu[[#This Row],[Y-tunnus]],'Suoritepäätös 2020'!$Q:$AC,COLUMN('Suoritepäätös 2020'!L:L),FALSE)+VLOOKUP(Vertailu[[#This Row],[Y-tunnus]],'Suoritepäätös 2020'!$Q:$AC,COLUMN('Suoritepäätös 2020'!M:M),FALSE),0)</f>
        <v>22561854</v>
      </c>
      <c r="U57" s="135">
        <f>IFERROR(VLOOKUP(Vertailu[[#This Row],[Y-tunnus]],'1.2 Ohjaus-laskentataulu'!A:AY,COLUMN('1.2 Ohjaus-laskentataulu'!AX:AX),FALSE),0)</f>
        <v>24592874</v>
      </c>
      <c r="V57" s="141">
        <f>IFERROR(Vertailu[[#This Row],[Rahoitus ml. hark. kor. + alv 2021, €]]-Vertailu[[#This Row],[Rahoitus ml. hark. kor. + alv 2020, €]],0)</f>
        <v>2031020</v>
      </c>
      <c r="W57" s="43">
        <f>IFERROR(Vertailu[[#This Row],[Muutos, € 3]]/Vertailu[[#This Row],[Rahoitus ml. hark. kor. + alv 2020, €]],0)</f>
        <v>9.0020084342359447E-2</v>
      </c>
      <c r="X57" s="18">
        <f>IFERROR(VLOOKUP(Vertailu[[#This Row],[Y-tunnus]],'Suoritepäätös 2020'!$B:$N,COLUMN('Suoritepäätös 2020'!G:G),FALSE),0)</f>
        <v>18477496</v>
      </c>
      <c r="Y57" s="18">
        <f>IFERROR(VLOOKUP(Vertailu[[#This Row],[Y-tunnus]],'1.2 Ohjaus-laskentataulu'!A:AY,COLUMN('1.2 Ohjaus-laskentataulu'!AS:AS),FALSE),0)</f>
        <v>19512584</v>
      </c>
      <c r="Z57" s="18">
        <f>Vertailu[[#This Row],[Perusrahoitus 2021, €]]-Vertailu[[#This Row],[Perusrahoitus 2020, €]]</f>
        <v>1035088</v>
      </c>
      <c r="AA57" s="43">
        <f>IFERROR(Vertailu[[#This Row],[Perusrahoituksen muutos, €]]/Vertailu[[#This Row],[Perusrahoitus 2020, €]],0)</f>
        <v>5.6018845843614308E-2</v>
      </c>
      <c r="AB57" s="18">
        <f>IFERROR(VLOOKUP(Vertailu[[#This Row],[Y-tunnus]],'Suoritepäätös 2020'!$B:$N,COLUMN('Suoritepäätös 2020'!M:M),FALSE),0)</f>
        <v>3084482</v>
      </c>
      <c r="AC57" s="18">
        <f>IFERROR(VLOOKUP(Vertailu[[#This Row],[Y-tunnus]],'1.2 Ohjaus-laskentataulu'!A:AY,COLUMN('1.2 Ohjaus-laskentataulu'!O:O),FALSE),0)</f>
        <v>3922368</v>
      </c>
      <c r="AD57" s="18">
        <f>Vertailu[[#This Row],[Suoritusrahoitus 2021, €]]-Vertailu[[#This Row],[Suoritusrahoitus 2020, €]]</f>
        <v>837886</v>
      </c>
      <c r="AE57" s="43">
        <f>IFERROR(Vertailu[[#This Row],[Suoritusrahoituksen muutos, €]]/Vertailu[[#This Row],[Suoritusrahoitus 2020, €]],0)</f>
        <v>0.27164561180775249</v>
      </c>
      <c r="AF57" s="18">
        <f>IFERROR(VLOOKUP(Vertailu[[#This Row],[Y-tunnus]],'Suoritepäätös 2020'!$Q:$AC,COLUMN('Suoritepäätös 2020'!K:K),FALSE),0)</f>
        <v>354717</v>
      </c>
      <c r="AG57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378705</v>
      </c>
      <c r="AH57" s="18">
        <f>Vertailu[[#This Row],[Vaikuttavuusrahoitus 2021, €]]-Vertailu[[#This Row],[Vaikuttavuusrahoitus 2020, €]]</f>
        <v>23988</v>
      </c>
      <c r="AI57" s="43">
        <f>IFERROR(Vertailu[[#This Row],[Vaikuttavuusrahoituksen muutos, €]]/Vertailu[[#This Row],[Vaikuttavuusrahoitus 2020, €]],0)</f>
        <v>6.7625741083737173E-2</v>
      </c>
    </row>
    <row r="58" spans="1:35" ht="12.75" customHeight="1" x14ac:dyDescent="0.25">
      <c r="A58" s="22" t="s">
        <v>336</v>
      </c>
      <c r="B58" s="236" t="s">
        <v>63</v>
      </c>
      <c r="C58" s="142" t="s">
        <v>216</v>
      </c>
      <c r="D58" s="170" t="s">
        <v>392</v>
      </c>
      <c r="E58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0.67855631045725717</v>
      </c>
      <c r="F58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0.67855631045725717</v>
      </c>
      <c r="G58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0.20891118288509961</v>
      </c>
      <c r="H58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0.11253250665764319</v>
      </c>
      <c r="I58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8.716729899062528E-2</v>
      </c>
      <c r="J58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4.3683733264446509E-3</v>
      </c>
      <c r="K58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2.0996834340573263E-2</v>
      </c>
      <c r="L58" s="18">
        <f>IFERROR(VLOOKUP(Vertailu[[#This Row],[Y-tunnus]],'Suoritepäätös 2020'!$Q:$AC,COLUMN('Suoritepäätös 2020'!L:L),FALSE)-VLOOKUP(Vertailu[[#This Row],[Y-tunnus]],'Suoritepäätös 2020'!$B:$N,COLUMN('Suoritepäätös 2020'!F:F),FALSE),0)</f>
        <v>13884486</v>
      </c>
      <c r="M58" s="18">
        <f>IFERROR(VLOOKUP(Vertailu[[#This Row],[Y-tunnus]],'1.2 Ohjaus-laskentataulu'!A:AY,COLUMN('1.2 Ohjaus-laskentataulu'!Z:Z),FALSE),0)</f>
        <v>15801763</v>
      </c>
      <c r="N58" s="18">
        <f>IFERROR(Vertailu[[#This Row],[Rahoitus pl. hark. kor. 2021 ilman alv, €]]-Vertailu[[#This Row],[Rahoitus pl. hark. kor. 2020 ilman alv, €]],0)</f>
        <v>1917277</v>
      </c>
      <c r="O58" s="43">
        <f>IFERROR(Vertailu[[#This Row],[Muutos, € 1]]/Vertailu[[#This Row],[Rahoitus pl. hark. kor. 2020 ilman alv, €]],0)</f>
        <v>0.13808771891159674</v>
      </c>
      <c r="P58" s="135">
        <f>IFERROR(VLOOKUP(Vertailu[[#This Row],[Y-tunnus]],'Suoritepäätös 2020'!$Q:$AC,COLUMN('Suoritepäätös 2020'!L:L),FALSE),0)</f>
        <v>13884486</v>
      </c>
      <c r="Q58" s="138">
        <f>IFERROR(VLOOKUP(Vertailu[[#This Row],[Y-tunnus]],'1.2 Ohjaus-laskentataulu'!A:AY,COLUMN('1.2 Ohjaus-laskentataulu'!AV:AV),FALSE),0)</f>
        <v>15801763</v>
      </c>
      <c r="R58" s="18">
        <f>IFERROR(Vertailu[[#This Row],[Rahoitus ml. hark. kor. 
2021 ilman alv, €]]-Vertailu[[#This Row],[Rahoitus ml. hark. kor. 
2020 ilman alv, €]],0)</f>
        <v>1917277</v>
      </c>
      <c r="S58" s="16">
        <f>IFERROR(Vertailu[[#This Row],[Muutos, € 2]]/Vertailu[[#This Row],[Rahoitus ml. hark. kor. 
2020 ilman alv, €]],0)</f>
        <v>0.13808771891159674</v>
      </c>
      <c r="T58" s="138">
        <f>IFERROR(VLOOKUP(Vertailu[[#This Row],[Y-tunnus]],'Suoritepäätös 2020'!$Q:$AC,COLUMN('Suoritepäätös 2020'!L:L),FALSE)+VLOOKUP(Vertailu[[#This Row],[Y-tunnus]],'Suoritepäätös 2020'!$Q:$AC,COLUMN('Suoritepäätös 2020'!M:M),FALSE),0)</f>
        <v>14436937</v>
      </c>
      <c r="U58" s="135">
        <f>IFERROR(VLOOKUP(Vertailu[[#This Row],[Y-tunnus]],'1.2 Ohjaus-laskentataulu'!A:AY,COLUMN('1.2 Ohjaus-laskentataulu'!AX:AX),FALSE),0)</f>
        <v>16348777</v>
      </c>
      <c r="V58" s="141">
        <f>IFERROR(Vertailu[[#This Row],[Rahoitus ml. hark. kor. + alv 2021, €]]-Vertailu[[#This Row],[Rahoitus ml. hark. kor. + alv 2020, €]],0)</f>
        <v>1911840</v>
      </c>
      <c r="W58" s="43">
        <f>IFERROR(Vertailu[[#This Row],[Muutos, € 3]]/Vertailu[[#This Row],[Rahoitus ml. hark. kor. + alv 2020, €]],0)</f>
        <v>0.13242698226084937</v>
      </c>
      <c r="X58" s="18">
        <f>IFERROR(VLOOKUP(Vertailu[[#This Row],[Y-tunnus]],'Suoritepäätös 2020'!$B:$N,COLUMN('Suoritepäätös 2020'!G:G),FALSE),0)</f>
        <v>9511413</v>
      </c>
      <c r="Y58" s="18">
        <f>IFERROR(VLOOKUP(Vertailu[[#This Row],[Y-tunnus]],'1.2 Ohjaus-laskentataulu'!A:AY,COLUMN('1.2 Ohjaus-laskentataulu'!AS:AS),FALSE),0)</f>
        <v>10722386</v>
      </c>
      <c r="Z58" s="18">
        <f>Vertailu[[#This Row],[Perusrahoitus 2021, €]]-Vertailu[[#This Row],[Perusrahoitus 2020, €]]</f>
        <v>1210973</v>
      </c>
      <c r="AA58" s="43">
        <f>IFERROR(Vertailu[[#This Row],[Perusrahoituksen muutos, €]]/Vertailu[[#This Row],[Perusrahoitus 2020, €]],0)</f>
        <v>0.1273178864170865</v>
      </c>
      <c r="AB58" s="18">
        <f>IFERROR(VLOOKUP(Vertailu[[#This Row],[Y-tunnus]],'Suoritepäätös 2020'!$B:$N,COLUMN('Suoritepäätös 2020'!M:M),FALSE),0)</f>
        <v>2767476</v>
      </c>
      <c r="AC58" s="18">
        <f>IFERROR(VLOOKUP(Vertailu[[#This Row],[Y-tunnus]],'1.2 Ohjaus-laskentataulu'!A:AY,COLUMN('1.2 Ohjaus-laskentataulu'!O:O),FALSE),0)</f>
        <v>3301165</v>
      </c>
      <c r="AD58" s="18">
        <f>Vertailu[[#This Row],[Suoritusrahoitus 2021, €]]-Vertailu[[#This Row],[Suoritusrahoitus 2020, €]]</f>
        <v>533689</v>
      </c>
      <c r="AE58" s="43">
        <f>IFERROR(Vertailu[[#This Row],[Suoritusrahoituksen muutos, €]]/Vertailu[[#This Row],[Suoritusrahoitus 2020, €]],0)</f>
        <v>0.19284322610205112</v>
      </c>
      <c r="AF58" s="18">
        <f>IFERROR(VLOOKUP(Vertailu[[#This Row],[Y-tunnus]],'Suoritepäätös 2020'!$Q:$AC,COLUMN('Suoritepäätös 2020'!K:K),FALSE),0)</f>
        <v>1605597</v>
      </c>
      <c r="AG58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1778212</v>
      </c>
      <c r="AH58" s="18">
        <f>Vertailu[[#This Row],[Vaikuttavuusrahoitus 2021, €]]-Vertailu[[#This Row],[Vaikuttavuusrahoitus 2020, €]]</f>
        <v>172615</v>
      </c>
      <c r="AI58" s="43">
        <f>IFERROR(Vertailu[[#This Row],[Vaikuttavuusrahoituksen muutos, €]]/Vertailu[[#This Row],[Vaikuttavuusrahoitus 2020, €]],0)</f>
        <v>0.10750829753667951</v>
      </c>
    </row>
    <row r="59" spans="1:35" ht="12.75" customHeight="1" x14ac:dyDescent="0.25">
      <c r="A59" s="22" t="s">
        <v>335</v>
      </c>
      <c r="B59" s="236" t="s">
        <v>64</v>
      </c>
      <c r="C59" s="142" t="s">
        <v>216</v>
      </c>
      <c r="D59" s="170" t="s">
        <v>392</v>
      </c>
      <c r="E59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0.67890408933460589</v>
      </c>
      <c r="F59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0.69173893110410956</v>
      </c>
      <c r="G59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0.25226111407453344</v>
      </c>
      <c r="H59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5.5999954821356973E-2</v>
      </c>
      <c r="I59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4.5535451629845215E-2</v>
      </c>
      <c r="J59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5.2073520027230398E-3</v>
      </c>
      <c r="K59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5.2571511887887145E-3</v>
      </c>
      <c r="L59" s="18">
        <f>IFERROR(VLOOKUP(Vertailu[[#This Row],[Y-tunnus]],'Suoritepäätös 2020'!$Q:$AC,COLUMN('Suoritepäätös 2020'!L:L),FALSE)-VLOOKUP(Vertailu[[#This Row],[Y-tunnus]],'Suoritepäätös 2020'!$B:$N,COLUMN('Suoritepäätös 2020'!F:F),FALSE),0)</f>
        <v>1890314</v>
      </c>
      <c r="M59" s="18">
        <f>IFERROR(VLOOKUP(Vertailu[[#This Row],[Y-tunnus]],'1.2 Ohjaus-laskentataulu'!A:AY,COLUMN('1.2 Ohjaus-laskentataulu'!Z:Z),FALSE),0)</f>
        <v>1922823</v>
      </c>
      <c r="N59" s="18">
        <f>IFERROR(Vertailu[[#This Row],[Rahoitus pl. hark. kor. 2021 ilman alv, €]]-Vertailu[[#This Row],[Rahoitus pl. hark. kor. 2020 ilman alv, €]],0)</f>
        <v>32509</v>
      </c>
      <c r="O59" s="43">
        <f>IFERROR(Vertailu[[#This Row],[Muutos, € 1]]/Vertailu[[#This Row],[Rahoitus pl. hark. kor. 2020 ilman alv, €]],0)</f>
        <v>1.7197671921172886E-2</v>
      </c>
      <c r="P59" s="135">
        <f>IFERROR(VLOOKUP(Vertailu[[#This Row],[Y-tunnus]],'Suoritepäätös 2020'!$Q:$AC,COLUMN('Suoritepäätös 2020'!L:L),FALSE),0)</f>
        <v>1890314</v>
      </c>
      <c r="Q59" s="138">
        <f>IFERROR(VLOOKUP(Vertailu[[#This Row],[Y-tunnus]],'1.2 Ohjaus-laskentataulu'!A:AY,COLUMN('1.2 Ohjaus-laskentataulu'!AV:AV),FALSE),0)</f>
        <v>1947823</v>
      </c>
      <c r="R59" s="18">
        <f>IFERROR(Vertailu[[#This Row],[Rahoitus ml. hark. kor. 
2021 ilman alv, €]]-Vertailu[[#This Row],[Rahoitus ml. hark. kor. 
2020 ilman alv, €]],0)</f>
        <v>57509</v>
      </c>
      <c r="S59" s="16">
        <f>IFERROR(Vertailu[[#This Row],[Muutos, € 2]]/Vertailu[[#This Row],[Rahoitus ml. hark. kor. 
2020 ilman alv, €]],0)</f>
        <v>3.0422987926873524E-2</v>
      </c>
      <c r="T59" s="138">
        <f>IFERROR(VLOOKUP(Vertailu[[#This Row],[Y-tunnus]],'Suoritepäätös 2020'!$Q:$AC,COLUMN('Suoritepäätös 2020'!L:L),FALSE)+VLOOKUP(Vertailu[[#This Row],[Y-tunnus]],'Suoritepäätös 2020'!$Q:$AC,COLUMN('Suoritepäätös 2020'!M:M),FALSE),0)</f>
        <v>1905284</v>
      </c>
      <c r="U59" s="135">
        <f>IFERROR(VLOOKUP(Vertailu[[#This Row],[Y-tunnus]],'1.2 Ohjaus-laskentataulu'!A:AY,COLUMN('1.2 Ohjaus-laskentataulu'!AX:AX),FALSE),0)</f>
        <v>1966517</v>
      </c>
      <c r="V59" s="141">
        <f>IFERROR(Vertailu[[#This Row],[Rahoitus ml. hark. kor. + alv 2021, €]]-Vertailu[[#This Row],[Rahoitus ml. hark. kor. + alv 2020, €]],0)</f>
        <v>61233</v>
      </c>
      <c r="W59" s="43">
        <f>IFERROR(Vertailu[[#This Row],[Muutos, € 3]]/Vertailu[[#This Row],[Rahoitus ml. hark. kor. + alv 2020, €]],0)</f>
        <v>3.213851583281023E-2</v>
      </c>
      <c r="X59" s="18">
        <f>IFERROR(VLOOKUP(Vertailu[[#This Row],[Y-tunnus]],'Suoritepäätös 2020'!$B:$N,COLUMN('Suoritepäätös 2020'!G:G),FALSE),0)</f>
        <v>1247650</v>
      </c>
      <c r="Y59" s="18">
        <f>IFERROR(VLOOKUP(Vertailu[[#This Row],[Y-tunnus]],'1.2 Ohjaus-laskentataulu'!A:AY,COLUMN('1.2 Ohjaus-laskentataulu'!AS:AS),FALSE),0)</f>
        <v>1347385</v>
      </c>
      <c r="Z59" s="18">
        <f>Vertailu[[#This Row],[Perusrahoitus 2021, €]]-Vertailu[[#This Row],[Perusrahoitus 2020, €]]</f>
        <v>99735</v>
      </c>
      <c r="AA59" s="43">
        <f>IFERROR(Vertailu[[#This Row],[Perusrahoituksen muutos, €]]/Vertailu[[#This Row],[Perusrahoitus 2020, €]],0)</f>
        <v>7.9938283973870872E-2</v>
      </c>
      <c r="AB59" s="18">
        <f>IFERROR(VLOOKUP(Vertailu[[#This Row],[Y-tunnus]],'Suoritepäätös 2020'!$B:$N,COLUMN('Suoritepäätös 2020'!M:M),FALSE),0)</f>
        <v>457946</v>
      </c>
      <c r="AC59" s="18">
        <f>IFERROR(VLOOKUP(Vertailu[[#This Row],[Y-tunnus]],'1.2 Ohjaus-laskentataulu'!A:AY,COLUMN('1.2 Ohjaus-laskentataulu'!O:O),FALSE),0)</f>
        <v>491360</v>
      </c>
      <c r="AD59" s="18">
        <f>Vertailu[[#This Row],[Suoritusrahoitus 2021, €]]-Vertailu[[#This Row],[Suoritusrahoitus 2020, €]]</f>
        <v>33414</v>
      </c>
      <c r="AE59" s="43">
        <f>IFERROR(Vertailu[[#This Row],[Suoritusrahoituksen muutos, €]]/Vertailu[[#This Row],[Suoritusrahoitus 2020, €]],0)</f>
        <v>7.2964934730295708E-2</v>
      </c>
      <c r="AF59" s="18">
        <f>IFERROR(VLOOKUP(Vertailu[[#This Row],[Y-tunnus]],'Suoritepäätös 2020'!$Q:$AC,COLUMN('Suoritepäätös 2020'!K:K),FALSE),0)</f>
        <v>184718</v>
      </c>
      <c r="AG59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109078</v>
      </c>
      <c r="AH59" s="18">
        <f>Vertailu[[#This Row],[Vaikuttavuusrahoitus 2021, €]]-Vertailu[[#This Row],[Vaikuttavuusrahoitus 2020, €]]</f>
        <v>-75640</v>
      </c>
      <c r="AI59" s="43">
        <f>IFERROR(Vertailu[[#This Row],[Vaikuttavuusrahoituksen muutos, €]]/Vertailu[[#This Row],[Vaikuttavuusrahoitus 2020, €]],0)</f>
        <v>-0.40948905899804028</v>
      </c>
    </row>
    <row r="60" spans="1:35" ht="12.75" customHeight="1" x14ac:dyDescent="0.25">
      <c r="A60" s="22" t="s">
        <v>334</v>
      </c>
      <c r="B60" s="236" t="s">
        <v>65</v>
      </c>
      <c r="C60" s="142" t="s">
        <v>295</v>
      </c>
      <c r="D60" s="170" t="s">
        <v>392</v>
      </c>
      <c r="E60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0.54509623289468312</v>
      </c>
      <c r="F60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0.54509623289468312</v>
      </c>
      <c r="G60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0.30128679793132801</v>
      </c>
      <c r="H60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0.15361696917398884</v>
      </c>
      <c r="I60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0.1250473730547895</v>
      </c>
      <c r="J60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9.9876975820792843E-3</v>
      </c>
      <c r="K60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1.8581898537120067E-2</v>
      </c>
      <c r="L60" s="18">
        <f>IFERROR(VLOOKUP(Vertailu[[#This Row],[Y-tunnus]],'Suoritepäätös 2020'!$Q:$AC,COLUMN('Suoritepäätös 2020'!L:L),FALSE)-VLOOKUP(Vertailu[[#This Row],[Y-tunnus]],'Suoritepäätös 2020'!$B:$N,COLUMN('Suoritepäätös 2020'!F:F),FALSE),0)</f>
        <v>144772</v>
      </c>
      <c r="M60" s="18">
        <f>IFERROR(VLOOKUP(Vertailu[[#This Row],[Y-tunnus]],'1.2 Ohjaus-laskentataulu'!A:AY,COLUMN('1.2 Ohjaus-laskentataulu'!Z:Z),FALSE),0)</f>
        <v>171511</v>
      </c>
      <c r="N60" s="18">
        <f>IFERROR(Vertailu[[#This Row],[Rahoitus pl. hark. kor. 2021 ilman alv, €]]-Vertailu[[#This Row],[Rahoitus pl. hark. kor. 2020 ilman alv, €]],0)</f>
        <v>26739</v>
      </c>
      <c r="O60" s="43">
        <f>IFERROR(Vertailu[[#This Row],[Muutos, € 1]]/Vertailu[[#This Row],[Rahoitus pl. hark. kor. 2020 ilman alv, €]],0)</f>
        <v>0.18469731716077695</v>
      </c>
      <c r="P60" s="135">
        <f>IFERROR(VLOOKUP(Vertailu[[#This Row],[Y-tunnus]],'Suoritepäätös 2020'!$Q:$AC,COLUMN('Suoritepäätös 2020'!L:L),FALSE),0)</f>
        <v>144772</v>
      </c>
      <c r="Q60" s="138">
        <f>IFERROR(VLOOKUP(Vertailu[[#This Row],[Y-tunnus]],'1.2 Ohjaus-laskentataulu'!A:AY,COLUMN('1.2 Ohjaus-laskentataulu'!AV:AV),FALSE),0)</f>
        <v>171511</v>
      </c>
      <c r="R60" s="18">
        <f>IFERROR(Vertailu[[#This Row],[Rahoitus ml. hark. kor. 
2021 ilman alv, €]]-Vertailu[[#This Row],[Rahoitus ml. hark. kor. 
2020 ilman alv, €]],0)</f>
        <v>26739</v>
      </c>
      <c r="S60" s="16">
        <f>IFERROR(Vertailu[[#This Row],[Muutos, € 2]]/Vertailu[[#This Row],[Rahoitus ml. hark. kor. 
2020 ilman alv, €]],0)</f>
        <v>0.18469731716077695</v>
      </c>
      <c r="T60" s="138">
        <f>IFERROR(VLOOKUP(Vertailu[[#This Row],[Y-tunnus]],'Suoritepäätös 2020'!$Q:$AC,COLUMN('Suoritepäätös 2020'!L:L),FALSE)+VLOOKUP(Vertailu[[#This Row],[Y-tunnus]],'Suoritepäätös 2020'!$Q:$AC,COLUMN('Suoritepäätös 2020'!M:M),FALSE),0)</f>
        <v>151680</v>
      </c>
      <c r="U60" s="135">
        <f>IFERROR(VLOOKUP(Vertailu[[#This Row],[Y-tunnus]],'1.2 Ohjaus-laskentataulu'!A:AY,COLUMN('1.2 Ohjaus-laskentataulu'!AX:AX),FALSE),0)</f>
        <v>179949</v>
      </c>
      <c r="V60" s="141">
        <f>IFERROR(Vertailu[[#This Row],[Rahoitus ml. hark. kor. + alv 2021, €]]-Vertailu[[#This Row],[Rahoitus ml. hark. kor. + alv 2020, €]],0)</f>
        <v>28269</v>
      </c>
      <c r="W60" s="43">
        <f>IFERROR(Vertailu[[#This Row],[Muutos, € 3]]/Vertailu[[#This Row],[Rahoitus ml. hark. kor. + alv 2020, €]],0)</f>
        <v>0.18637262658227849</v>
      </c>
      <c r="X60" s="18">
        <f>IFERROR(VLOOKUP(Vertailu[[#This Row],[Y-tunnus]],'Suoritepäätös 2020'!$B:$N,COLUMN('Suoritepäätös 2020'!G:G),FALSE),0)</f>
        <v>89708</v>
      </c>
      <c r="Y60" s="18">
        <f>IFERROR(VLOOKUP(Vertailu[[#This Row],[Y-tunnus]],'1.2 Ohjaus-laskentataulu'!A:AY,COLUMN('1.2 Ohjaus-laskentataulu'!AS:AS),FALSE),0)</f>
        <v>93490</v>
      </c>
      <c r="Z60" s="18">
        <f>Vertailu[[#This Row],[Perusrahoitus 2021, €]]-Vertailu[[#This Row],[Perusrahoitus 2020, €]]</f>
        <v>3782</v>
      </c>
      <c r="AA60" s="43">
        <f>IFERROR(Vertailu[[#This Row],[Perusrahoituksen muutos, €]]/Vertailu[[#This Row],[Perusrahoitus 2020, €]],0)</f>
        <v>4.2159004771034916E-2</v>
      </c>
      <c r="AB60" s="18">
        <f>IFERROR(VLOOKUP(Vertailu[[#This Row],[Y-tunnus]],'Suoritepäätös 2020'!$B:$N,COLUMN('Suoritepäätös 2020'!M:M),FALSE),0)</f>
        <v>25640</v>
      </c>
      <c r="AC60" s="18">
        <f>IFERROR(VLOOKUP(Vertailu[[#This Row],[Y-tunnus]],'1.2 Ohjaus-laskentataulu'!A:AY,COLUMN('1.2 Ohjaus-laskentataulu'!O:O),FALSE),0)</f>
        <v>51674</v>
      </c>
      <c r="AD60" s="18">
        <f>Vertailu[[#This Row],[Suoritusrahoitus 2021, €]]-Vertailu[[#This Row],[Suoritusrahoitus 2020, €]]</f>
        <v>26034</v>
      </c>
      <c r="AE60" s="43">
        <f>IFERROR(Vertailu[[#This Row],[Suoritusrahoituksen muutos, €]]/Vertailu[[#This Row],[Suoritusrahoitus 2020, €]],0)</f>
        <v>1.0153666146645866</v>
      </c>
      <c r="AF60" s="18">
        <f>IFERROR(VLOOKUP(Vertailu[[#This Row],[Y-tunnus]],'Suoritepäätös 2020'!$Q:$AC,COLUMN('Suoritepäätös 2020'!K:K),FALSE),0)</f>
        <v>29424</v>
      </c>
      <c r="AG60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26347</v>
      </c>
      <c r="AH60" s="18">
        <f>Vertailu[[#This Row],[Vaikuttavuusrahoitus 2021, €]]-Vertailu[[#This Row],[Vaikuttavuusrahoitus 2020, €]]</f>
        <v>-3077</v>
      </c>
      <c r="AI60" s="43">
        <f>IFERROR(Vertailu[[#This Row],[Vaikuttavuusrahoituksen muutos, €]]/Vertailu[[#This Row],[Vaikuttavuusrahoitus 2020, €]],0)</f>
        <v>-0.10457449700924415</v>
      </c>
    </row>
    <row r="61" spans="1:35" ht="12.75" customHeight="1" x14ac:dyDescent="0.25">
      <c r="A61" s="22" t="s">
        <v>333</v>
      </c>
      <c r="B61" s="236" t="s">
        <v>147</v>
      </c>
      <c r="C61" s="142" t="s">
        <v>216</v>
      </c>
      <c r="D61" s="170" t="s">
        <v>392</v>
      </c>
      <c r="E61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0.60105788918533221</v>
      </c>
      <c r="F61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0.65922628280697404</v>
      </c>
      <c r="G61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0.16683083079977665</v>
      </c>
      <c r="H61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0.17394288639324937</v>
      </c>
      <c r="I61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0.11053545945275176</v>
      </c>
      <c r="J61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8.3103245020785498E-3</v>
      </c>
      <c r="K61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5.509710243841906E-2</v>
      </c>
      <c r="L61" s="18">
        <f>IFERROR(VLOOKUP(Vertailu[[#This Row],[Y-tunnus]],'Suoritepäätös 2020'!$Q:$AC,COLUMN('Suoritepäätös 2020'!L:L),FALSE)-VLOOKUP(Vertailu[[#This Row],[Y-tunnus]],'Suoritepäätös 2020'!$B:$N,COLUMN('Suoritepäätös 2020'!F:F),FALSE),0)</f>
        <v>256283</v>
      </c>
      <c r="M61" s="18">
        <f>IFERROR(VLOOKUP(Vertailu[[#This Row],[Y-tunnus]],'1.2 Ohjaus-laskentataulu'!A:AY,COLUMN('1.2 Ohjaus-laskentataulu'!Z:Z),FALSE),0)</f>
        <v>242872</v>
      </c>
      <c r="N61" s="18">
        <f>IFERROR(Vertailu[[#This Row],[Rahoitus pl. hark. kor. 2021 ilman alv, €]]-Vertailu[[#This Row],[Rahoitus pl. hark. kor. 2020 ilman alv, €]],0)</f>
        <v>-13411</v>
      </c>
      <c r="O61" s="43">
        <f>IFERROR(Vertailu[[#This Row],[Muutos, € 1]]/Vertailu[[#This Row],[Rahoitus pl. hark. kor. 2020 ilman alv, €]],0)</f>
        <v>-5.2328870818587267E-2</v>
      </c>
      <c r="P61" s="135">
        <f>IFERROR(VLOOKUP(Vertailu[[#This Row],[Y-tunnus]],'Suoritepäätös 2020'!$Q:$AC,COLUMN('Suoritepäätös 2020'!L:L),FALSE),0)</f>
        <v>256283</v>
      </c>
      <c r="Q61" s="138">
        <f>IFERROR(VLOOKUP(Vertailu[[#This Row],[Y-tunnus]],'1.2 Ohjaus-laskentataulu'!A:AY,COLUMN('1.2 Ohjaus-laskentataulu'!AV:AV),FALSE),0)</f>
        <v>257872</v>
      </c>
      <c r="R61" s="18">
        <f>IFERROR(Vertailu[[#This Row],[Rahoitus ml. hark. kor. 
2021 ilman alv, €]]-Vertailu[[#This Row],[Rahoitus ml. hark. kor. 
2020 ilman alv, €]],0)</f>
        <v>1589</v>
      </c>
      <c r="S61" s="16">
        <f>IFERROR(Vertailu[[#This Row],[Muutos, € 2]]/Vertailu[[#This Row],[Rahoitus ml. hark. kor. 
2020 ilman alv, €]],0)</f>
        <v>6.2001771479185119E-3</v>
      </c>
      <c r="T61" s="138">
        <f>IFERROR(VLOOKUP(Vertailu[[#This Row],[Y-tunnus]],'Suoritepäätös 2020'!$Q:$AC,COLUMN('Suoritepäätös 2020'!L:L),FALSE)+VLOOKUP(Vertailu[[#This Row],[Y-tunnus]],'Suoritepäätös 2020'!$Q:$AC,COLUMN('Suoritepäätös 2020'!M:M),FALSE),0)</f>
        <v>282870</v>
      </c>
      <c r="U61" s="135">
        <f>IFERROR(VLOOKUP(Vertailu[[#This Row],[Y-tunnus]],'1.2 Ohjaus-laskentataulu'!A:AY,COLUMN('1.2 Ohjaus-laskentataulu'!AX:AX),FALSE),0)</f>
        <v>279027</v>
      </c>
      <c r="V61" s="141">
        <f>IFERROR(Vertailu[[#This Row],[Rahoitus ml. hark. kor. + alv 2021, €]]-Vertailu[[#This Row],[Rahoitus ml. hark. kor. + alv 2020, €]],0)</f>
        <v>-3843</v>
      </c>
      <c r="W61" s="43">
        <f>IFERROR(Vertailu[[#This Row],[Muutos, € 3]]/Vertailu[[#This Row],[Rahoitus ml. hark. kor. + alv 2020, €]],0)</f>
        <v>-1.3585746102449888E-2</v>
      </c>
      <c r="X61" s="18">
        <f>IFERROR(VLOOKUP(Vertailu[[#This Row],[Y-tunnus]],'Suoritepäätös 2020'!$B:$N,COLUMN('Suoritepäätös 2020'!G:G),FALSE),0)</f>
        <v>161120</v>
      </c>
      <c r="Y61" s="18">
        <f>IFERROR(VLOOKUP(Vertailu[[#This Row],[Y-tunnus]],'1.2 Ohjaus-laskentataulu'!A:AY,COLUMN('1.2 Ohjaus-laskentataulu'!AS:AS),FALSE),0)</f>
        <v>169996</v>
      </c>
      <c r="Z61" s="18">
        <f>Vertailu[[#This Row],[Perusrahoitus 2021, €]]-Vertailu[[#This Row],[Perusrahoitus 2020, €]]</f>
        <v>8876</v>
      </c>
      <c r="AA61" s="43">
        <f>IFERROR(Vertailu[[#This Row],[Perusrahoituksen muutos, €]]/Vertailu[[#This Row],[Perusrahoitus 2020, €]],0)</f>
        <v>5.5089374379344587E-2</v>
      </c>
      <c r="AB61" s="18">
        <f>IFERROR(VLOOKUP(Vertailu[[#This Row],[Y-tunnus]],'Suoritepäätös 2020'!$B:$N,COLUMN('Suoritepäätös 2020'!M:M),FALSE),0)</f>
        <v>43186</v>
      </c>
      <c r="AC61" s="18">
        <f>IFERROR(VLOOKUP(Vertailu[[#This Row],[Y-tunnus]],'1.2 Ohjaus-laskentataulu'!A:AY,COLUMN('1.2 Ohjaus-laskentataulu'!O:O),FALSE),0)</f>
        <v>43021</v>
      </c>
      <c r="AD61" s="18">
        <f>Vertailu[[#This Row],[Suoritusrahoitus 2021, €]]-Vertailu[[#This Row],[Suoritusrahoitus 2020, €]]</f>
        <v>-165</v>
      </c>
      <c r="AE61" s="43">
        <f>IFERROR(Vertailu[[#This Row],[Suoritusrahoituksen muutos, €]]/Vertailu[[#This Row],[Suoritusrahoitus 2020, €]],0)</f>
        <v>-3.8206826286296485E-3</v>
      </c>
      <c r="AF61" s="18">
        <f>IFERROR(VLOOKUP(Vertailu[[#This Row],[Y-tunnus]],'Suoritepäätös 2020'!$Q:$AC,COLUMN('Suoritepäätös 2020'!K:K),FALSE),0)</f>
        <v>51977</v>
      </c>
      <c r="AG61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44855</v>
      </c>
      <c r="AH61" s="18">
        <f>Vertailu[[#This Row],[Vaikuttavuusrahoitus 2021, €]]-Vertailu[[#This Row],[Vaikuttavuusrahoitus 2020, €]]</f>
        <v>-7122</v>
      </c>
      <c r="AI61" s="43">
        <f>IFERROR(Vertailu[[#This Row],[Vaikuttavuusrahoituksen muutos, €]]/Vertailu[[#This Row],[Vaikuttavuusrahoitus 2020, €]],0)</f>
        <v>-0.13702214441002752</v>
      </c>
    </row>
    <row r="62" spans="1:35" ht="12.75" customHeight="1" x14ac:dyDescent="0.25">
      <c r="A62" s="22" t="s">
        <v>332</v>
      </c>
      <c r="B62" s="236" t="s">
        <v>163</v>
      </c>
      <c r="C62" s="142" t="s">
        <v>216</v>
      </c>
      <c r="D62" s="170" t="s">
        <v>392</v>
      </c>
      <c r="E62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1</v>
      </c>
      <c r="F62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1</v>
      </c>
      <c r="G62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</v>
      </c>
      <c r="H62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</v>
      </c>
      <c r="I62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</v>
      </c>
      <c r="J62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0</v>
      </c>
      <c r="K62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0</v>
      </c>
      <c r="L62" s="18">
        <f>IFERROR(VLOOKUP(Vertailu[[#This Row],[Y-tunnus]],'Suoritepäätös 2020'!$Q:$AC,COLUMN('Suoritepäätös 2020'!L:L),FALSE)-VLOOKUP(Vertailu[[#This Row],[Y-tunnus]],'Suoritepäätös 2020'!$B:$N,COLUMN('Suoritepäätös 2020'!F:F),FALSE),0)</f>
        <v>30690</v>
      </c>
      <c r="M62" s="18">
        <f>IFERROR(VLOOKUP(Vertailu[[#This Row],[Y-tunnus]],'1.2 Ohjaus-laskentataulu'!A:AY,COLUMN('1.2 Ohjaus-laskentataulu'!Z:Z),FALSE),0)</f>
        <v>31983</v>
      </c>
      <c r="N62" s="18">
        <f>IFERROR(Vertailu[[#This Row],[Rahoitus pl. hark. kor. 2021 ilman alv, €]]-Vertailu[[#This Row],[Rahoitus pl. hark. kor. 2020 ilman alv, €]],0)</f>
        <v>1293</v>
      </c>
      <c r="O62" s="43">
        <f>IFERROR(Vertailu[[#This Row],[Muutos, € 1]]/Vertailu[[#This Row],[Rahoitus pl. hark. kor. 2020 ilman alv, €]],0)</f>
        <v>4.2130987292277614E-2</v>
      </c>
      <c r="P62" s="135">
        <f>IFERROR(VLOOKUP(Vertailu[[#This Row],[Y-tunnus]],'Suoritepäätös 2020'!$Q:$AC,COLUMN('Suoritepäätös 2020'!L:L),FALSE),0)</f>
        <v>30690</v>
      </c>
      <c r="Q62" s="138">
        <f>IFERROR(VLOOKUP(Vertailu[[#This Row],[Y-tunnus]],'1.2 Ohjaus-laskentataulu'!A:AY,COLUMN('1.2 Ohjaus-laskentataulu'!AV:AV),FALSE),0)</f>
        <v>31983</v>
      </c>
      <c r="R62" s="18">
        <f>IFERROR(Vertailu[[#This Row],[Rahoitus ml. hark. kor. 
2021 ilman alv, €]]-Vertailu[[#This Row],[Rahoitus ml. hark. kor. 
2020 ilman alv, €]],0)</f>
        <v>1293</v>
      </c>
      <c r="S62" s="16">
        <f>IFERROR(Vertailu[[#This Row],[Muutos, € 2]]/Vertailu[[#This Row],[Rahoitus ml. hark. kor. 
2020 ilman alv, €]],0)</f>
        <v>4.2130987292277614E-2</v>
      </c>
      <c r="T62" s="138">
        <f>IFERROR(VLOOKUP(Vertailu[[#This Row],[Y-tunnus]],'Suoritepäätös 2020'!$Q:$AC,COLUMN('Suoritepäätös 2020'!L:L),FALSE)+VLOOKUP(Vertailu[[#This Row],[Y-tunnus]],'Suoritepäätös 2020'!$Q:$AC,COLUMN('Suoritepäätös 2020'!M:M),FALSE),0)</f>
        <v>73338</v>
      </c>
      <c r="U62" s="135">
        <f>IFERROR(VLOOKUP(Vertailu[[#This Row],[Y-tunnus]],'1.2 Ohjaus-laskentataulu'!A:AY,COLUMN('1.2 Ohjaus-laskentataulu'!AX:AX),FALSE),0)</f>
        <v>62670</v>
      </c>
      <c r="V62" s="141">
        <f>IFERROR(Vertailu[[#This Row],[Rahoitus ml. hark. kor. + alv 2021, €]]-Vertailu[[#This Row],[Rahoitus ml. hark. kor. + alv 2020, €]],0)</f>
        <v>-10668</v>
      </c>
      <c r="W62" s="43">
        <f>IFERROR(Vertailu[[#This Row],[Muutos, € 3]]/Vertailu[[#This Row],[Rahoitus ml. hark. kor. + alv 2020, €]],0)</f>
        <v>-0.14546347050642233</v>
      </c>
      <c r="X62" s="18">
        <f>IFERROR(VLOOKUP(Vertailu[[#This Row],[Y-tunnus]],'Suoritepäätös 2020'!$B:$N,COLUMN('Suoritepäätös 2020'!G:G),FALSE),0)</f>
        <v>30690</v>
      </c>
      <c r="Y62" s="18">
        <f>IFERROR(VLOOKUP(Vertailu[[#This Row],[Y-tunnus]],'1.2 Ohjaus-laskentataulu'!A:AY,COLUMN('1.2 Ohjaus-laskentataulu'!AS:AS),FALSE),0)</f>
        <v>31983</v>
      </c>
      <c r="Z62" s="18">
        <f>Vertailu[[#This Row],[Perusrahoitus 2021, €]]-Vertailu[[#This Row],[Perusrahoitus 2020, €]]</f>
        <v>1293</v>
      </c>
      <c r="AA62" s="43">
        <f>IFERROR(Vertailu[[#This Row],[Perusrahoituksen muutos, €]]/Vertailu[[#This Row],[Perusrahoitus 2020, €]],0)</f>
        <v>4.2130987292277614E-2</v>
      </c>
      <c r="AB62" s="18">
        <f>IFERROR(VLOOKUP(Vertailu[[#This Row],[Y-tunnus]],'Suoritepäätös 2020'!$B:$N,COLUMN('Suoritepäätös 2020'!M:M),FALSE),0)</f>
        <v>0</v>
      </c>
      <c r="AC62" s="18">
        <f>IFERROR(VLOOKUP(Vertailu[[#This Row],[Y-tunnus]],'1.2 Ohjaus-laskentataulu'!A:AY,COLUMN('1.2 Ohjaus-laskentataulu'!O:O),FALSE),0)</f>
        <v>0</v>
      </c>
      <c r="AD62" s="18">
        <f>Vertailu[[#This Row],[Suoritusrahoitus 2021, €]]-Vertailu[[#This Row],[Suoritusrahoitus 2020, €]]</f>
        <v>0</v>
      </c>
      <c r="AE62" s="43">
        <f>IFERROR(Vertailu[[#This Row],[Suoritusrahoituksen muutos, €]]/Vertailu[[#This Row],[Suoritusrahoitus 2020, €]],0)</f>
        <v>0</v>
      </c>
      <c r="AF62" s="18">
        <f>IFERROR(VLOOKUP(Vertailu[[#This Row],[Y-tunnus]],'Suoritepäätös 2020'!$Q:$AC,COLUMN('Suoritepäätös 2020'!K:K),FALSE),0)</f>
        <v>0</v>
      </c>
      <c r="AG62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0</v>
      </c>
      <c r="AH62" s="18">
        <f>Vertailu[[#This Row],[Vaikuttavuusrahoitus 2021, €]]-Vertailu[[#This Row],[Vaikuttavuusrahoitus 2020, €]]</f>
        <v>0</v>
      </c>
      <c r="AI62" s="43">
        <f>IFERROR(Vertailu[[#This Row],[Vaikuttavuusrahoituksen muutos, €]]/Vertailu[[#This Row],[Vaikuttavuusrahoitus 2020, €]],0)</f>
        <v>0</v>
      </c>
    </row>
    <row r="63" spans="1:35" ht="12.75" customHeight="1" x14ac:dyDescent="0.25">
      <c r="A63" s="22" t="s">
        <v>331</v>
      </c>
      <c r="B63" s="236" t="s">
        <v>66</v>
      </c>
      <c r="C63" s="142" t="s">
        <v>249</v>
      </c>
      <c r="D63" s="170" t="s">
        <v>392</v>
      </c>
      <c r="E63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0.65646955516957273</v>
      </c>
      <c r="F63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0.66106215905656895</v>
      </c>
      <c r="G63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0.23265580179056441</v>
      </c>
      <c r="H63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0.10628203915286666</v>
      </c>
      <c r="I63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6.4182557841549651E-2</v>
      </c>
      <c r="J63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7.9406121206164748E-3</v>
      </c>
      <c r="K63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3.4158869190700526E-2</v>
      </c>
      <c r="L63" s="18">
        <f>IFERROR(VLOOKUP(Vertailu[[#This Row],[Y-tunnus]],'Suoritepäätös 2020'!$Q:$AC,COLUMN('Suoritepäätös 2020'!L:L),FALSE)-VLOOKUP(Vertailu[[#This Row],[Y-tunnus]],'Suoritepäätös 2020'!$B:$N,COLUMN('Suoritepäätös 2020'!F:F),FALSE),0)</f>
        <v>997333</v>
      </c>
      <c r="M63" s="18">
        <f>IFERROR(VLOOKUP(Vertailu[[#This Row],[Y-tunnus]],'1.2 Ohjaus-laskentataulu'!A:AY,COLUMN('1.2 Ohjaus-laskentataulu'!Z:Z),FALSE),0)</f>
        <v>1083707</v>
      </c>
      <c r="N63" s="18">
        <f>IFERROR(Vertailu[[#This Row],[Rahoitus pl. hark. kor. 2021 ilman alv, €]]-Vertailu[[#This Row],[Rahoitus pl. hark. kor. 2020 ilman alv, €]],0)</f>
        <v>86374</v>
      </c>
      <c r="O63" s="43">
        <f>IFERROR(Vertailu[[#This Row],[Muutos, € 1]]/Vertailu[[#This Row],[Rahoitus pl. hark. kor. 2020 ilman alv, €]],0)</f>
        <v>8.6604975469577364E-2</v>
      </c>
      <c r="P63" s="135">
        <f>IFERROR(VLOOKUP(Vertailu[[#This Row],[Y-tunnus]],'Suoritepäätös 2020'!$Q:$AC,COLUMN('Suoritepäätös 2020'!L:L),FALSE),0)</f>
        <v>997333</v>
      </c>
      <c r="Q63" s="138">
        <f>IFERROR(VLOOKUP(Vertailu[[#This Row],[Y-tunnus]],'1.2 Ohjaus-laskentataulu'!A:AY,COLUMN('1.2 Ohjaus-laskentataulu'!AV:AV),FALSE),0)</f>
        <v>1088707</v>
      </c>
      <c r="R63" s="18">
        <f>IFERROR(Vertailu[[#This Row],[Rahoitus ml. hark. kor. 
2021 ilman alv, €]]-Vertailu[[#This Row],[Rahoitus ml. hark. kor. 
2020 ilman alv, €]],0)</f>
        <v>91374</v>
      </c>
      <c r="S63" s="16">
        <f>IFERROR(Vertailu[[#This Row],[Muutos, € 2]]/Vertailu[[#This Row],[Rahoitus ml. hark. kor. 
2020 ilman alv, €]],0)</f>
        <v>9.161834612912638E-2</v>
      </c>
      <c r="T63" s="138">
        <f>IFERROR(VLOOKUP(Vertailu[[#This Row],[Y-tunnus]],'Suoritepäätös 2020'!$Q:$AC,COLUMN('Suoritepäätös 2020'!L:L),FALSE)+VLOOKUP(Vertailu[[#This Row],[Y-tunnus]],'Suoritepäätös 2020'!$Q:$AC,COLUMN('Suoritepäätös 2020'!M:M),FALSE),0)</f>
        <v>1038082</v>
      </c>
      <c r="U63" s="135">
        <f>IFERROR(VLOOKUP(Vertailu[[#This Row],[Y-tunnus]],'1.2 Ohjaus-laskentataulu'!A:AY,COLUMN('1.2 Ohjaus-laskentataulu'!AX:AX),FALSE),0)</f>
        <v>1153923</v>
      </c>
      <c r="V63" s="141">
        <f>IFERROR(Vertailu[[#This Row],[Rahoitus ml. hark. kor. + alv 2021, €]]-Vertailu[[#This Row],[Rahoitus ml. hark. kor. + alv 2020, €]],0)</f>
        <v>115841</v>
      </c>
      <c r="W63" s="43">
        <f>IFERROR(Vertailu[[#This Row],[Muutos, € 3]]/Vertailu[[#This Row],[Rahoitus ml. hark. kor. + alv 2020, €]],0)</f>
        <v>0.11159137717444287</v>
      </c>
      <c r="X63" s="18">
        <f>IFERROR(VLOOKUP(Vertailu[[#This Row],[Y-tunnus]],'Suoritepäätös 2020'!$B:$N,COLUMN('Suoritepäätös 2020'!G:G),FALSE),0)</f>
        <v>650974</v>
      </c>
      <c r="Y63" s="18">
        <f>IFERROR(VLOOKUP(Vertailu[[#This Row],[Y-tunnus]],'1.2 Ohjaus-laskentataulu'!A:AY,COLUMN('1.2 Ohjaus-laskentataulu'!AS:AS),FALSE),0)</f>
        <v>719703</v>
      </c>
      <c r="Z63" s="18">
        <f>Vertailu[[#This Row],[Perusrahoitus 2021, €]]-Vertailu[[#This Row],[Perusrahoitus 2020, €]]</f>
        <v>68729</v>
      </c>
      <c r="AA63" s="43">
        <f>IFERROR(Vertailu[[#This Row],[Perusrahoituksen muutos, €]]/Vertailu[[#This Row],[Perusrahoitus 2020, €]],0)</f>
        <v>0.10557871742957477</v>
      </c>
      <c r="AB63" s="18">
        <f>IFERROR(VLOOKUP(Vertailu[[#This Row],[Y-tunnus]],'Suoritepäätös 2020'!$B:$N,COLUMN('Suoritepäätös 2020'!M:M),FALSE),0)</f>
        <v>231005</v>
      </c>
      <c r="AC63" s="18">
        <f>IFERROR(VLOOKUP(Vertailu[[#This Row],[Y-tunnus]],'1.2 Ohjaus-laskentataulu'!A:AY,COLUMN('1.2 Ohjaus-laskentataulu'!O:O),FALSE),0)</f>
        <v>253294</v>
      </c>
      <c r="AD63" s="18">
        <f>Vertailu[[#This Row],[Suoritusrahoitus 2021, €]]-Vertailu[[#This Row],[Suoritusrahoitus 2020, €]]</f>
        <v>22289</v>
      </c>
      <c r="AE63" s="43">
        <f>IFERROR(Vertailu[[#This Row],[Suoritusrahoituksen muutos, €]]/Vertailu[[#This Row],[Suoritusrahoitus 2020, €]],0)</f>
        <v>9.6487089024047096E-2</v>
      </c>
      <c r="AF63" s="18">
        <f>IFERROR(VLOOKUP(Vertailu[[#This Row],[Y-tunnus]],'Suoritepäätös 2020'!$Q:$AC,COLUMN('Suoritepäätös 2020'!K:K),FALSE),0)</f>
        <v>115354</v>
      </c>
      <c r="AG63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115710</v>
      </c>
      <c r="AH63" s="18">
        <f>Vertailu[[#This Row],[Vaikuttavuusrahoitus 2021, €]]-Vertailu[[#This Row],[Vaikuttavuusrahoitus 2020, €]]</f>
        <v>356</v>
      </c>
      <c r="AI63" s="43">
        <f>IFERROR(Vertailu[[#This Row],[Vaikuttavuusrahoituksen muutos, €]]/Vertailu[[#This Row],[Vaikuttavuusrahoitus 2020, €]],0)</f>
        <v>3.0861521923817121E-3</v>
      </c>
    </row>
    <row r="64" spans="1:35" ht="12.75" customHeight="1" x14ac:dyDescent="0.25">
      <c r="A64" s="22" t="s">
        <v>330</v>
      </c>
      <c r="B64" s="236" t="s">
        <v>67</v>
      </c>
      <c r="C64" s="142" t="s">
        <v>234</v>
      </c>
      <c r="D64" s="170" t="s">
        <v>391</v>
      </c>
      <c r="E64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0.70789419650444207</v>
      </c>
      <c r="F64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0.70861360732559964</v>
      </c>
      <c r="G64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0.19427278738007844</v>
      </c>
      <c r="H64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9.7113605294321975E-2</v>
      </c>
      <c r="I64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7.9146531627330971E-2</v>
      </c>
      <c r="J64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3.796500176382606E-3</v>
      </c>
      <c r="K64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1.4170573490608388E-2</v>
      </c>
      <c r="L64" s="18">
        <f>IFERROR(VLOOKUP(Vertailu[[#This Row],[Y-tunnus]],'Suoritepäätös 2020'!$Q:$AC,COLUMN('Suoritepäätös 2020'!L:L),FALSE)-VLOOKUP(Vertailu[[#This Row],[Y-tunnus]],'Suoritepäätös 2020'!$B:$N,COLUMN('Suoritepäätös 2020'!F:F),FALSE),0)</f>
        <v>23020559</v>
      </c>
      <c r="M64" s="18">
        <f>IFERROR(VLOOKUP(Vertailu[[#This Row],[Y-tunnus]],'1.2 Ohjaus-laskentataulu'!A:AY,COLUMN('1.2 Ohjaus-laskentataulu'!Z:Z),FALSE),0)</f>
        <v>23613448</v>
      </c>
      <c r="N64" s="18">
        <f>IFERROR(Vertailu[[#This Row],[Rahoitus pl. hark. kor. 2021 ilman alv, €]]-Vertailu[[#This Row],[Rahoitus pl. hark. kor. 2020 ilman alv, €]],0)</f>
        <v>592889</v>
      </c>
      <c r="O64" s="43">
        <f>IFERROR(Vertailu[[#This Row],[Muutos, € 1]]/Vertailu[[#This Row],[Rahoitus pl. hark. kor. 2020 ilman alv, €]],0)</f>
        <v>2.5754761211489261E-2</v>
      </c>
      <c r="P64" s="135">
        <f>IFERROR(VLOOKUP(Vertailu[[#This Row],[Y-tunnus]],'Suoritepäätös 2020'!$Q:$AC,COLUMN('Suoritepäätös 2020'!L:L),FALSE),0)</f>
        <v>23135559</v>
      </c>
      <c r="Q64" s="138">
        <f>IFERROR(VLOOKUP(Vertailu[[#This Row],[Y-tunnus]],'1.2 Ohjaus-laskentataulu'!A:AY,COLUMN('1.2 Ohjaus-laskentataulu'!AV:AV),FALSE),0)</f>
        <v>23630448</v>
      </c>
      <c r="R64" s="18">
        <f>IFERROR(Vertailu[[#This Row],[Rahoitus ml. hark. kor. 
2021 ilman alv, €]]-Vertailu[[#This Row],[Rahoitus ml. hark. kor. 
2020 ilman alv, €]],0)</f>
        <v>494889</v>
      </c>
      <c r="S64" s="16">
        <f>IFERROR(Vertailu[[#This Row],[Muutos, € 2]]/Vertailu[[#This Row],[Rahoitus ml. hark. kor. 
2020 ilman alv, €]],0)</f>
        <v>2.1390838233042046E-2</v>
      </c>
      <c r="T64" s="138">
        <f>IFERROR(VLOOKUP(Vertailu[[#This Row],[Y-tunnus]],'Suoritepäätös 2020'!$Q:$AC,COLUMN('Suoritepäätös 2020'!L:L),FALSE)+VLOOKUP(Vertailu[[#This Row],[Y-tunnus]],'Suoritepäätös 2020'!$Q:$AC,COLUMN('Suoritepäätös 2020'!M:M),FALSE),0)</f>
        <v>23135559</v>
      </c>
      <c r="U64" s="135">
        <f>IFERROR(VLOOKUP(Vertailu[[#This Row],[Y-tunnus]],'1.2 Ohjaus-laskentataulu'!A:AY,COLUMN('1.2 Ohjaus-laskentataulu'!AX:AX),FALSE),0)</f>
        <v>23630448</v>
      </c>
      <c r="V64" s="141">
        <f>IFERROR(Vertailu[[#This Row],[Rahoitus ml. hark. kor. + alv 2021, €]]-Vertailu[[#This Row],[Rahoitus ml. hark. kor. + alv 2020, €]],0)</f>
        <v>494889</v>
      </c>
      <c r="W64" s="43">
        <f>IFERROR(Vertailu[[#This Row],[Muutos, € 3]]/Vertailu[[#This Row],[Rahoitus ml. hark. kor. + alv 2020, €]],0)</f>
        <v>2.1390838233042046E-2</v>
      </c>
      <c r="X64" s="18">
        <f>IFERROR(VLOOKUP(Vertailu[[#This Row],[Y-tunnus]],'Suoritepäätös 2020'!$B:$N,COLUMN('Suoritepäätös 2020'!G:G),FALSE),0)</f>
        <v>16037588</v>
      </c>
      <c r="Y64" s="18">
        <f>IFERROR(VLOOKUP(Vertailu[[#This Row],[Y-tunnus]],'1.2 Ohjaus-laskentataulu'!A:AY,COLUMN('1.2 Ohjaus-laskentataulu'!AS:AS),FALSE),0)</f>
        <v>16744857</v>
      </c>
      <c r="Z64" s="18">
        <f>Vertailu[[#This Row],[Perusrahoitus 2021, €]]-Vertailu[[#This Row],[Perusrahoitus 2020, €]]</f>
        <v>707269</v>
      </c>
      <c r="AA64" s="43">
        <f>IFERROR(Vertailu[[#This Row],[Perusrahoituksen muutos, €]]/Vertailu[[#This Row],[Perusrahoitus 2020, €]],0)</f>
        <v>4.4100708909594138E-2</v>
      </c>
      <c r="AB64" s="18">
        <f>IFERROR(VLOOKUP(Vertailu[[#This Row],[Y-tunnus]],'Suoritepäätös 2020'!$B:$N,COLUMN('Suoritepäätös 2020'!M:M),FALSE),0)</f>
        <v>5015163</v>
      </c>
      <c r="AC64" s="18">
        <f>IFERROR(VLOOKUP(Vertailu[[#This Row],[Y-tunnus]],'1.2 Ohjaus-laskentataulu'!A:AY,COLUMN('1.2 Ohjaus-laskentataulu'!O:O),FALSE),0)</f>
        <v>4590753</v>
      </c>
      <c r="AD64" s="18">
        <f>Vertailu[[#This Row],[Suoritusrahoitus 2021, €]]-Vertailu[[#This Row],[Suoritusrahoitus 2020, €]]</f>
        <v>-424410</v>
      </c>
      <c r="AE64" s="43">
        <f>IFERROR(Vertailu[[#This Row],[Suoritusrahoituksen muutos, €]]/Vertailu[[#This Row],[Suoritusrahoitus 2020, €]],0)</f>
        <v>-8.4625365117743934E-2</v>
      </c>
      <c r="AF64" s="18">
        <f>IFERROR(VLOOKUP(Vertailu[[#This Row],[Y-tunnus]],'Suoritepäätös 2020'!$Q:$AC,COLUMN('Suoritepäätös 2020'!K:K),FALSE),0)</f>
        <v>2082808</v>
      </c>
      <c r="AG64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2294838</v>
      </c>
      <c r="AH64" s="18">
        <f>Vertailu[[#This Row],[Vaikuttavuusrahoitus 2021, €]]-Vertailu[[#This Row],[Vaikuttavuusrahoitus 2020, €]]</f>
        <v>212030</v>
      </c>
      <c r="AI64" s="43">
        <f>IFERROR(Vertailu[[#This Row],[Vaikuttavuusrahoituksen muutos, €]]/Vertailu[[#This Row],[Vaikuttavuusrahoitus 2020, €]],0)</f>
        <v>0.1018000699056274</v>
      </c>
    </row>
    <row r="65" spans="1:35" ht="12.75" customHeight="1" x14ac:dyDescent="0.25">
      <c r="A65" s="22" t="s">
        <v>329</v>
      </c>
      <c r="B65" s="236" t="s">
        <v>68</v>
      </c>
      <c r="C65" s="142" t="s">
        <v>230</v>
      </c>
      <c r="D65" s="170" t="s">
        <v>391</v>
      </c>
      <c r="E65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0.68682376034243209</v>
      </c>
      <c r="F65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0.68908703775409896</v>
      </c>
      <c r="G65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0.20403494991577625</v>
      </c>
      <c r="H65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0.1068780123301248</v>
      </c>
      <c r="I65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8.6186744247371661E-2</v>
      </c>
      <c r="J65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5.5943129628424236E-3</v>
      </c>
      <c r="K65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1.5096955119910719E-2</v>
      </c>
      <c r="L65" s="18">
        <f>IFERROR(VLOOKUP(Vertailu[[#This Row],[Y-tunnus]],'Suoritepäätös 2020'!$Q:$AC,COLUMN('Suoritepäätös 2020'!L:L),FALSE)-VLOOKUP(Vertailu[[#This Row],[Y-tunnus]],'Suoritepäätös 2020'!$B:$N,COLUMN('Suoritepäätös 2020'!F:F),FALSE),0)</f>
        <v>54735407</v>
      </c>
      <c r="M65" s="18">
        <f>IFERROR(VLOOKUP(Vertailu[[#This Row],[Y-tunnus]],'1.2 Ohjaus-laskentataulu'!A:AY,COLUMN('1.2 Ohjaus-laskentataulu'!Z:Z),FALSE),0)</f>
        <v>56867990</v>
      </c>
      <c r="N65" s="18">
        <f>IFERROR(Vertailu[[#This Row],[Rahoitus pl. hark. kor. 2021 ilman alv, €]]-Vertailu[[#This Row],[Rahoitus pl. hark. kor. 2020 ilman alv, €]],0)</f>
        <v>2132583</v>
      </c>
      <c r="O65" s="43">
        <f>IFERROR(Vertailu[[#This Row],[Muutos, € 1]]/Vertailu[[#This Row],[Rahoitus pl. hark. kor. 2020 ilman alv, €]],0)</f>
        <v>3.8961672469156938E-2</v>
      </c>
      <c r="P65" s="135">
        <f>IFERROR(VLOOKUP(Vertailu[[#This Row],[Y-tunnus]],'Suoritepäätös 2020'!$Q:$AC,COLUMN('Suoritepäätös 2020'!L:L),FALSE),0)</f>
        <v>54755407</v>
      </c>
      <c r="Q65" s="138">
        <f>IFERROR(VLOOKUP(Vertailu[[#This Row],[Y-tunnus]],'1.2 Ohjaus-laskentataulu'!A:AY,COLUMN('1.2 Ohjaus-laskentataulu'!AV:AV),FALSE),0)</f>
        <v>56996990</v>
      </c>
      <c r="R65" s="18">
        <f>IFERROR(Vertailu[[#This Row],[Rahoitus ml. hark. kor. 
2021 ilman alv, €]]-Vertailu[[#This Row],[Rahoitus ml. hark. kor. 
2020 ilman alv, €]],0)</f>
        <v>2241583</v>
      </c>
      <c r="S65" s="16">
        <f>IFERROR(Vertailu[[#This Row],[Muutos, € 2]]/Vertailu[[#This Row],[Rahoitus ml. hark. kor. 
2020 ilman alv, €]],0)</f>
        <v>4.093811228542233E-2</v>
      </c>
      <c r="T65" s="138">
        <f>IFERROR(VLOOKUP(Vertailu[[#This Row],[Y-tunnus]],'Suoritepäätös 2020'!$Q:$AC,COLUMN('Suoritepäätös 2020'!L:L),FALSE)+VLOOKUP(Vertailu[[#This Row],[Y-tunnus]],'Suoritepäätös 2020'!$Q:$AC,COLUMN('Suoritepäätös 2020'!M:M),FALSE),0)</f>
        <v>54755407</v>
      </c>
      <c r="U65" s="135">
        <f>IFERROR(VLOOKUP(Vertailu[[#This Row],[Y-tunnus]],'1.2 Ohjaus-laskentataulu'!A:AY,COLUMN('1.2 Ohjaus-laskentataulu'!AX:AX),FALSE),0)</f>
        <v>56996990</v>
      </c>
      <c r="V65" s="141">
        <f>IFERROR(Vertailu[[#This Row],[Rahoitus ml. hark. kor. + alv 2021, €]]-Vertailu[[#This Row],[Rahoitus ml. hark. kor. + alv 2020, €]],0)</f>
        <v>2241583</v>
      </c>
      <c r="W65" s="43">
        <f>IFERROR(Vertailu[[#This Row],[Muutos, € 3]]/Vertailu[[#This Row],[Rahoitus ml. hark. kor. + alv 2020, €]],0)</f>
        <v>4.093811228542233E-2</v>
      </c>
      <c r="X65" s="18">
        <f>IFERROR(VLOOKUP(Vertailu[[#This Row],[Y-tunnus]],'Suoritepäätös 2020'!$B:$N,COLUMN('Suoritepäätös 2020'!G:G),FALSE),0)</f>
        <v>36878792</v>
      </c>
      <c r="Y65" s="18">
        <f>IFERROR(VLOOKUP(Vertailu[[#This Row],[Y-tunnus]],'1.2 Ohjaus-laskentataulu'!A:AY,COLUMN('1.2 Ohjaus-laskentataulu'!AS:AS),FALSE),0)</f>
        <v>39275887</v>
      </c>
      <c r="Z65" s="18">
        <f>Vertailu[[#This Row],[Perusrahoitus 2021, €]]-Vertailu[[#This Row],[Perusrahoitus 2020, €]]</f>
        <v>2397095</v>
      </c>
      <c r="AA65" s="43">
        <f>IFERROR(Vertailu[[#This Row],[Perusrahoituksen muutos, €]]/Vertailu[[#This Row],[Perusrahoitus 2020, €]],0)</f>
        <v>6.4999281972142692E-2</v>
      </c>
      <c r="AB65" s="18">
        <f>IFERROR(VLOOKUP(Vertailu[[#This Row],[Y-tunnus]],'Suoritepäätös 2020'!$B:$N,COLUMN('Suoritepäätös 2020'!M:M),FALSE),0)</f>
        <v>12984850</v>
      </c>
      <c r="AC65" s="18">
        <f>IFERROR(VLOOKUP(Vertailu[[#This Row],[Y-tunnus]],'1.2 Ohjaus-laskentataulu'!A:AY,COLUMN('1.2 Ohjaus-laskentataulu'!O:O),FALSE),0)</f>
        <v>11629378</v>
      </c>
      <c r="AD65" s="18">
        <f>Vertailu[[#This Row],[Suoritusrahoitus 2021, €]]-Vertailu[[#This Row],[Suoritusrahoitus 2020, €]]</f>
        <v>-1355472</v>
      </c>
      <c r="AE65" s="43">
        <f>IFERROR(Vertailu[[#This Row],[Suoritusrahoituksen muutos, €]]/Vertailu[[#This Row],[Suoritusrahoitus 2020, €]],0)</f>
        <v>-0.10438872994297201</v>
      </c>
      <c r="AF65" s="18">
        <f>IFERROR(VLOOKUP(Vertailu[[#This Row],[Y-tunnus]],'Suoritepäätös 2020'!$Q:$AC,COLUMN('Suoritepäätös 2020'!K:K),FALSE),0)</f>
        <v>4891765</v>
      </c>
      <c r="AG65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6091725</v>
      </c>
      <c r="AH65" s="18">
        <f>Vertailu[[#This Row],[Vaikuttavuusrahoitus 2021, €]]-Vertailu[[#This Row],[Vaikuttavuusrahoitus 2020, €]]</f>
        <v>1199960</v>
      </c>
      <c r="AI65" s="43">
        <f>IFERROR(Vertailu[[#This Row],[Vaikuttavuusrahoituksen muutos, €]]/Vertailu[[#This Row],[Vaikuttavuusrahoitus 2020, €]],0)</f>
        <v>0.24530205355326759</v>
      </c>
    </row>
    <row r="66" spans="1:35" ht="12.75" customHeight="1" x14ac:dyDescent="0.25">
      <c r="A66" s="22" t="s">
        <v>297</v>
      </c>
      <c r="B66" s="236" t="s">
        <v>530</v>
      </c>
      <c r="C66" s="142" t="s">
        <v>224</v>
      </c>
      <c r="D66" s="170" t="s">
        <v>391</v>
      </c>
      <c r="E66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0.68248139506495897</v>
      </c>
      <c r="F66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0.6849331321870511</v>
      </c>
      <c r="G66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0.19962985403568623</v>
      </c>
      <c r="H66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0.11543701377726275</v>
      </c>
      <c r="I66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8.5939746223863328E-2</v>
      </c>
      <c r="J66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7.3497742786585571E-3</v>
      </c>
      <c r="K66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2.2147493274740856E-2</v>
      </c>
      <c r="L66" s="18">
        <f>IFERROR(VLOOKUP(Vertailu[[#This Row],[Y-tunnus]],'Suoritepäätös 2020'!$Q:$AC,COLUMN('Suoritepäätös 2020'!L:L),FALSE)-VLOOKUP(Vertailu[[#This Row],[Y-tunnus]],'Suoritepäätös 2020'!$B:$N,COLUMN('Suoritepäätös 2020'!F:F),FALSE),0)</f>
        <v>68510371</v>
      </c>
      <c r="M66" s="18">
        <f>IFERROR(VLOOKUP(Vertailu[[#This Row],[Y-tunnus]],'1.2 Ohjaus-laskentataulu'!A:AY,COLUMN('1.2 Ohjaus-laskentataulu'!Z:Z),FALSE),0)</f>
        <v>69168592</v>
      </c>
      <c r="N66" s="18">
        <f>IFERROR(Vertailu[[#This Row],[Rahoitus pl. hark. kor. 2021 ilman alv, €]]-Vertailu[[#This Row],[Rahoitus pl. hark. kor. 2020 ilman alv, €]],0)</f>
        <v>658221</v>
      </c>
      <c r="O66" s="43">
        <f>IFERROR(Vertailu[[#This Row],[Muutos, € 1]]/Vertailu[[#This Row],[Rahoitus pl. hark. kor. 2020 ilman alv, €]],0)</f>
        <v>9.6076110870863627E-3</v>
      </c>
      <c r="P66" s="135">
        <f>IFERROR(VLOOKUP(Vertailu[[#This Row],[Y-tunnus]],'Suoritepäätös 2020'!$Q:$AC,COLUMN('Suoritepäätös 2020'!L:L),FALSE),0)</f>
        <v>68550371</v>
      </c>
      <c r="Q66" s="138">
        <f>IFERROR(VLOOKUP(Vertailu[[#This Row],[Y-tunnus]],'1.2 Ohjaus-laskentataulu'!A:AY,COLUMN('1.2 Ohjaus-laskentataulu'!AV:AV),FALSE),0)</f>
        <v>69338592</v>
      </c>
      <c r="R66" s="18">
        <f>IFERROR(Vertailu[[#This Row],[Rahoitus ml. hark. kor. 
2021 ilman alv, €]]-Vertailu[[#This Row],[Rahoitus ml. hark. kor. 
2020 ilman alv, €]],0)</f>
        <v>788221</v>
      </c>
      <c r="S66" s="16">
        <f>IFERROR(Vertailu[[#This Row],[Muutos, € 2]]/Vertailu[[#This Row],[Rahoitus ml. hark. kor. 
2020 ilman alv, €]],0)</f>
        <v>1.1498420628533141E-2</v>
      </c>
      <c r="T66" s="138">
        <f>IFERROR(VLOOKUP(Vertailu[[#This Row],[Y-tunnus]],'Suoritepäätös 2020'!$Q:$AC,COLUMN('Suoritepäätös 2020'!L:L),FALSE)+VLOOKUP(Vertailu[[#This Row],[Y-tunnus]],'Suoritepäätös 2020'!$Q:$AC,COLUMN('Suoritepäätös 2020'!M:M),FALSE),0)</f>
        <v>68550371</v>
      </c>
      <c r="U66" s="135">
        <f>IFERROR(VLOOKUP(Vertailu[[#This Row],[Y-tunnus]],'1.2 Ohjaus-laskentataulu'!A:AY,COLUMN('1.2 Ohjaus-laskentataulu'!AX:AX),FALSE),0)</f>
        <v>69338592</v>
      </c>
      <c r="V66" s="141">
        <f>IFERROR(Vertailu[[#This Row],[Rahoitus ml. hark. kor. + alv 2021, €]]-Vertailu[[#This Row],[Rahoitus ml. hark. kor. + alv 2020, €]],0)</f>
        <v>788221</v>
      </c>
      <c r="W66" s="43">
        <f>IFERROR(Vertailu[[#This Row],[Muutos, € 3]]/Vertailu[[#This Row],[Rahoitus ml. hark. kor. + alv 2020, €]],0)</f>
        <v>1.1498420628533141E-2</v>
      </c>
      <c r="X66" s="18">
        <f>IFERROR(VLOOKUP(Vertailu[[#This Row],[Y-tunnus]],'Suoritepäätös 2020'!$B:$N,COLUMN('Suoritepäätös 2020'!G:G),FALSE),0)</f>
        <v>45020911</v>
      </c>
      <c r="Y66" s="18">
        <f>IFERROR(VLOOKUP(Vertailu[[#This Row],[Y-tunnus]],'1.2 Ohjaus-laskentataulu'!A:AY,COLUMN('1.2 Ohjaus-laskentataulu'!AS:AS),FALSE),0)</f>
        <v>47492299</v>
      </c>
      <c r="Z66" s="18">
        <f>Vertailu[[#This Row],[Perusrahoitus 2021, €]]-Vertailu[[#This Row],[Perusrahoitus 2020, €]]</f>
        <v>2471388</v>
      </c>
      <c r="AA66" s="43">
        <f>IFERROR(Vertailu[[#This Row],[Perusrahoituksen muutos, €]]/Vertailu[[#This Row],[Perusrahoitus 2020, €]],0)</f>
        <v>5.489422459709889E-2</v>
      </c>
      <c r="AB66" s="18">
        <f>IFERROR(VLOOKUP(Vertailu[[#This Row],[Y-tunnus]],'Suoritepäätös 2020'!$B:$N,COLUMN('Suoritepäätös 2020'!M:M),FALSE),0)</f>
        <v>14537275</v>
      </c>
      <c r="AC66" s="18">
        <f>IFERROR(VLOOKUP(Vertailu[[#This Row],[Y-tunnus]],'1.2 Ohjaus-laskentataulu'!A:AY,COLUMN('1.2 Ohjaus-laskentataulu'!O:O),FALSE),0)</f>
        <v>13842053</v>
      </c>
      <c r="AD66" s="18">
        <f>Vertailu[[#This Row],[Suoritusrahoitus 2021, €]]-Vertailu[[#This Row],[Suoritusrahoitus 2020, €]]</f>
        <v>-695222</v>
      </c>
      <c r="AE66" s="43">
        <f>IFERROR(Vertailu[[#This Row],[Suoritusrahoituksen muutos, €]]/Vertailu[[#This Row],[Suoritusrahoitus 2020, €]],0)</f>
        <v>-4.7823405693295337E-2</v>
      </c>
      <c r="AF66" s="18">
        <f>IFERROR(VLOOKUP(Vertailu[[#This Row],[Y-tunnus]],'Suoritepäätös 2020'!$Q:$AC,COLUMN('Suoritepäätös 2020'!K:K),FALSE),0)</f>
        <v>8992185</v>
      </c>
      <c r="AG66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8004240</v>
      </c>
      <c r="AH66" s="18">
        <f>Vertailu[[#This Row],[Vaikuttavuusrahoitus 2021, €]]-Vertailu[[#This Row],[Vaikuttavuusrahoitus 2020, €]]</f>
        <v>-987945</v>
      </c>
      <c r="AI66" s="43">
        <f>IFERROR(Vertailu[[#This Row],[Vaikuttavuusrahoituksen muutos, €]]/Vertailu[[#This Row],[Vaikuttavuusrahoitus 2020, €]],0)</f>
        <v>-0.10986706790396328</v>
      </c>
    </row>
    <row r="67" spans="1:35" ht="12.75" customHeight="1" x14ac:dyDescent="0.25">
      <c r="A67" s="22" t="s">
        <v>328</v>
      </c>
      <c r="B67" s="236" t="s">
        <v>69</v>
      </c>
      <c r="C67" s="142" t="s">
        <v>312</v>
      </c>
      <c r="D67" s="170" t="s">
        <v>391</v>
      </c>
      <c r="E67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0.68531601938765285</v>
      </c>
      <c r="F67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0.68906492500009719</v>
      </c>
      <c r="G67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0.20035463709867321</v>
      </c>
      <c r="H67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0.11058043790122955</v>
      </c>
      <c r="I67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8.2251645195512688E-2</v>
      </c>
      <c r="J67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7.5794436445998118E-3</v>
      </c>
      <c r="K67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2.0749349061117049E-2</v>
      </c>
      <c r="L67" s="18">
        <f>IFERROR(VLOOKUP(Vertailu[[#This Row],[Y-tunnus]],'Suoritepäätös 2020'!$Q:$AC,COLUMN('Suoritepäätös 2020'!L:L),FALSE)-VLOOKUP(Vertailu[[#This Row],[Y-tunnus]],'Suoritepäätös 2020'!$B:$N,COLUMN('Suoritepäätös 2020'!F:F),FALSE),0)</f>
        <v>21286073</v>
      </c>
      <c r="M67" s="18">
        <f>IFERROR(VLOOKUP(Vertailu[[#This Row],[Y-tunnus]],'1.2 Ohjaus-laskentataulu'!A:AY,COLUMN('1.2 Ohjaus-laskentataulu'!Z:Z),FALSE),0)</f>
        <v>21259561</v>
      </c>
      <c r="N67" s="18">
        <f>IFERROR(Vertailu[[#This Row],[Rahoitus pl. hark. kor. 2021 ilman alv, €]]-Vertailu[[#This Row],[Rahoitus pl. hark. kor. 2020 ilman alv, €]],0)</f>
        <v>-26512</v>
      </c>
      <c r="O67" s="43">
        <f>IFERROR(Vertailu[[#This Row],[Muutos, € 1]]/Vertailu[[#This Row],[Rahoitus pl. hark. kor. 2020 ilman alv, €]],0)</f>
        <v>-1.245509211586374E-3</v>
      </c>
      <c r="P67" s="135">
        <f>IFERROR(VLOOKUP(Vertailu[[#This Row],[Y-tunnus]],'Suoritepäätös 2020'!$Q:$AC,COLUMN('Suoritepäätös 2020'!L:L),FALSE),0)</f>
        <v>21286073</v>
      </c>
      <c r="Q67" s="138">
        <f>IFERROR(VLOOKUP(Vertailu[[#This Row],[Y-tunnus]],'1.2 Ohjaus-laskentataulu'!A:AY,COLUMN('1.2 Ohjaus-laskentataulu'!AV:AV),FALSE),0)</f>
        <v>21339561</v>
      </c>
      <c r="R67" s="18">
        <f>IFERROR(Vertailu[[#This Row],[Rahoitus ml. hark. kor. 
2021 ilman alv, €]]-Vertailu[[#This Row],[Rahoitus ml. hark. kor. 
2020 ilman alv, €]],0)</f>
        <v>53488</v>
      </c>
      <c r="S67" s="16">
        <f>IFERROR(Vertailu[[#This Row],[Muutos, € 2]]/Vertailu[[#This Row],[Rahoitus ml. hark. kor. 
2020 ilman alv, €]],0)</f>
        <v>2.512816713538472E-3</v>
      </c>
      <c r="T67" s="138">
        <f>IFERROR(VLOOKUP(Vertailu[[#This Row],[Y-tunnus]],'Suoritepäätös 2020'!$Q:$AC,COLUMN('Suoritepäätös 2020'!L:L),FALSE)+VLOOKUP(Vertailu[[#This Row],[Y-tunnus]],'Suoritepäätös 2020'!$Q:$AC,COLUMN('Suoritepäätös 2020'!M:M),FALSE),0)</f>
        <v>21286073</v>
      </c>
      <c r="U67" s="135">
        <f>IFERROR(VLOOKUP(Vertailu[[#This Row],[Y-tunnus]],'1.2 Ohjaus-laskentataulu'!A:AY,COLUMN('1.2 Ohjaus-laskentataulu'!AX:AX),FALSE),0)</f>
        <v>21339561</v>
      </c>
      <c r="V67" s="141">
        <f>IFERROR(Vertailu[[#This Row],[Rahoitus ml. hark. kor. + alv 2021, €]]-Vertailu[[#This Row],[Rahoitus ml. hark. kor. + alv 2020, €]],0)</f>
        <v>53488</v>
      </c>
      <c r="W67" s="43">
        <f>IFERROR(Vertailu[[#This Row],[Muutos, € 3]]/Vertailu[[#This Row],[Rahoitus ml. hark. kor. + alv 2020, €]],0)</f>
        <v>2.512816713538472E-3</v>
      </c>
      <c r="X67" s="18">
        <f>IFERROR(VLOOKUP(Vertailu[[#This Row],[Y-tunnus]],'Suoritepäätös 2020'!$B:$N,COLUMN('Suoritepäätös 2020'!G:G),FALSE),0)</f>
        <v>14023374</v>
      </c>
      <c r="Y67" s="18">
        <f>IFERROR(VLOOKUP(Vertailu[[#This Row],[Y-tunnus]],'1.2 Ohjaus-laskentataulu'!A:AY,COLUMN('1.2 Ohjaus-laskentataulu'!AS:AS),FALSE),0)</f>
        <v>14704343</v>
      </c>
      <c r="Z67" s="18">
        <f>Vertailu[[#This Row],[Perusrahoitus 2021, €]]-Vertailu[[#This Row],[Perusrahoitus 2020, €]]</f>
        <v>680969</v>
      </c>
      <c r="AA67" s="43">
        <f>IFERROR(Vertailu[[#This Row],[Perusrahoituksen muutos, €]]/Vertailu[[#This Row],[Perusrahoitus 2020, €]],0)</f>
        <v>4.8559569187843099E-2</v>
      </c>
      <c r="AB67" s="18">
        <f>IFERROR(VLOOKUP(Vertailu[[#This Row],[Y-tunnus]],'Suoritepäätös 2020'!$B:$N,COLUMN('Suoritepäätös 2020'!M:M),FALSE),0)</f>
        <v>4670900</v>
      </c>
      <c r="AC67" s="18">
        <f>IFERROR(VLOOKUP(Vertailu[[#This Row],[Y-tunnus]],'1.2 Ohjaus-laskentataulu'!A:AY,COLUMN('1.2 Ohjaus-laskentataulu'!O:O),FALSE),0)</f>
        <v>4275480</v>
      </c>
      <c r="AD67" s="18">
        <f>Vertailu[[#This Row],[Suoritusrahoitus 2021, €]]-Vertailu[[#This Row],[Suoritusrahoitus 2020, €]]</f>
        <v>-395420</v>
      </c>
      <c r="AE67" s="43">
        <f>IFERROR(Vertailu[[#This Row],[Suoritusrahoituksen muutos, €]]/Vertailu[[#This Row],[Suoritusrahoitus 2020, €]],0)</f>
        <v>-8.4656062000899188E-2</v>
      </c>
      <c r="AF67" s="18">
        <f>IFERROR(VLOOKUP(Vertailu[[#This Row],[Y-tunnus]],'Suoritepäätös 2020'!$Q:$AC,COLUMN('Suoritepäätös 2020'!K:K),FALSE),0)</f>
        <v>2591799</v>
      </c>
      <c r="AG67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2359738</v>
      </c>
      <c r="AH67" s="18">
        <f>Vertailu[[#This Row],[Vaikuttavuusrahoitus 2021, €]]-Vertailu[[#This Row],[Vaikuttavuusrahoitus 2020, €]]</f>
        <v>-232061</v>
      </c>
      <c r="AI67" s="43">
        <f>IFERROR(Vertailu[[#This Row],[Vaikuttavuusrahoituksen muutos, €]]/Vertailu[[#This Row],[Vaikuttavuusrahoitus 2020, €]],0)</f>
        <v>-8.9536650025715731E-2</v>
      </c>
    </row>
    <row r="68" spans="1:35" ht="12.75" customHeight="1" x14ac:dyDescent="0.25">
      <c r="A68" s="22" t="s">
        <v>327</v>
      </c>
      <c r="B68" s="236" t="s">
        <v>70</v>
      </c>
      <c r="C68" s="142" t="s">
        <v>234</v>
      </c>
      <c r="D68" s="170" t="s">
        <v>392</v>
      </c>
      <c r="E68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0.63354930436647905</v>
      </c>
      <c r="F68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0.63354930436647905</v>
      </c>
      <c r="G68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0.22267042995357147</v>
      </c>
      <c r="H68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0.1437802656799495</v>
      </c>
      <c r="I68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9.4469163419386687E-2</v>
      </c>
      <c r="J68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1.254029810841983E-2</v>
      </c>
      <c r="K68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3.6770804152142997E-2</v>
      </c>
      <c r="L68" s="18">
        <f>IFERROR(VLOOKUP(Vertailu[[#This Row],[Y-tunnus]],'Suoritepäätös 2020'!$Q:$AC,COLUMN('Suoritepäätös 2020'!L:L),FALSE)-VLOOKUP(Vertailu[[#This Row],[Y-tunnus]],'Suoritepäätös 2020'!$B:$N,COLUMN('Suoritepäätös 2020'!F:F),FALSE),0)</f>
        <v>2527110</v>
      </c>
      <c r="M68" s="18">
        <f>IFERROR(VLOOKUP(Vertailu[[#This Row],[Y-tunnus]],'1.2 Ohjaus-laskentataulu'!A:AY,COLUMN('1.2 Ohjaus-laskentataulu'!Z:Z),FALSE),0)</f>
        <v>2894987</v>
      </c>
      <c r="N68" s="18">
        <f>IFERROR(Vertailu[[#This Row],[Rahoitus pl. hark. kor. 2021 ilman alv, €]]-Vertailu[[#This Row],[Rahoitus pl. hark. kor. 2020 ilman alv, €]],0)</f>
        <v>367877</v>
      </c>
      <c r="O68" s="43">
        <f>IFERROR(Vertailu[[#This Row],[Muutos, € 1]]/Vertailu[[#This Row],[Rahoitus pl. hark. kor. 2020 ilman alv, €]],0)</f>
        <v>0.14557221490160696</v>
      </c>
      <c r="P68" s="135">
        <f>IFERROR(VLOOKUP(Vertailu[[#This Row],[Y-tunnus]],'Suoritepäätös 2020'!$Q:$AC,COLUMN('Suoritepäätös 2020'!L:L),FALSE),0)</f>
        <v>2577110</v>
      </c>
      <c r="Q68" s="138">
        <f>IFERROR(VLOOKUP(Vertailu[[#This Row],[Y-tunnus]],'1.2 Ohjaus-laskentataulu'!A:AY,COLUMN('1.2 Ohjaus-laskentataulu'!AV:AV),FALSE),0)</f>
        <v>2894987</v>
      </c>
      <c r="R68" s="18">
        <f>IFERROR(Vertailu[[#This Row],[Rahoitus ml. hark. kor. 
2021 ilman alv, €]]-Vertailu[[#This Row],[Rahoitus ml. hark. kor. 
2020 ilman alv, €]],0)</f>
        <v>317877</v>
      </c>
      <c r="S68" s="16">
        <f>IFERROR(Vertailu[[#This Row],[Muutos, € 2]]/Vertailu[[#This Row],[Rahoitus ml. hark. kor. 
2020 ilman alv, €]],0)</f>
        <v>0.12334630652164634</v>
      </c>
      <c r="T68" s="138">
        <f>IFERROR(VLOOKUP(Vertailu[[#This Row],[Y-tunnus]],'Suoritepäätös 2020'!$Q:$AC,COLUMN('Suoritepäätös 2020'!L:L),FALSE)+VLOOKUP(Vertailu[[#This Row],[Y-tunnus]],'Suoritepäätös 2020'!$Q:$AC,COLUMN('Suoritepäätös 2020'!M:M),FALSE),0)</f>
        <v>2722514</v>
      </c>
      <c r="U68" s="135">
        <f>IFERROR(VLOOKUP(Vertailu[[#This Row],[Y-tunnus]],'1.2 Ohjaus-laskentataulu'!A:AY,COLUMN('1.2 Ohjaus-laskentataulu'!AX:AX),FALSE),0)</f>
        <v>3034665</v>
      </c>
      <c r="V68" s="141">
        <f>IFERROR(Vertailu[[#This Row],[Rahoitus ml. hark. kor. + alv 2021, €]]-Vertailu[[#This Row],[Rahoitus ml. hark. kor. + alv 2020, €]],0)</f>
        <v>312151</v>
      </c>
      <c r="W68" s="43">
        <f>IFERROR(Vertailu[[#This Row],[Muutos, € 3]]/Vertailu[[#This Row],[Rahoitus ml. hark. kor. + alv 2020, €]],0)</f>
        <v>0.1146554250960693</v>
      </c>
      <c r="X68" s="18">
        <f>IFERROR(VLOOKUP(Vertailu[[#This Row],[Y-tunnus]],'Suoritepäätös 2020'!$B:$N,COLUMN('Suoritepäätös 2020'!G:G),FALSE),0)</f>
        <v>1506575</v>
      </c>
      <c r="Y68" s="18">
        <f>IFERROR(VLOOKUP(Vertailu[[#This Row],[Y-tunnus]],'1.2 Ohjaus-laskentataulu'!A:AY,COLUMN('1.2 Ohjaus-laskentataulu'!AS:AS),FALSE),0)</f>
        <v>1834117</v>
      </c>
      <c r="Z68" s="18">
        <f>Vertailu[[#This Row],[Perusrahoitus 2021, €]]-Vertailu[[#This Row],[Perusrahoitus 2020, €]]</f>
        <v>327542</v>
      </c>
      <c r="AA68" s="43">
        <f>IFERROR(Vertailu[[#This Row],[Perusrahoituksen muutos, €]]/Vertailu[[#This Row],[Perusrahoitus 2020, €]],0)</f>
        <v>0.217408360021904</v>
      </c>
      <c r="AB68" s="18">
        <f>IFERROR(VLOOKUP(Vertailu[[#This Row],[Y-tunnus]],'Suoritepäätös 2020'!$B:$N,COLUMN('Suoritepäätös 2020'!M:M),FALSE),0)</f>
        <v>623409</v>
      </c>
      <c r="AC68" s="18">
        <f>IFERROR(VLOOKUP(Vertailu[[#This Row],[Y-tunnus]],'1.2 Ohjaus-laskentataulu'!A:AY,COLUMN('1.2 Ohjaus-laskentataulu'!O:O),FALSE),0)</f>
        <v>644628</v>
      </c>
      <c r="AD68" s="18">
        <f>Vertailu[[#This Row],[Suoritusrahoitus 2021, €]]-Vertailu[[#This Row],[Suoritusrahoitus 2020, €]]</f>
        <v>21219</v>
      </c>
      <c r="AE68" s="43">
        <f>IFERROR(Vertailu[[#This Row],[Suoritusrahoituksen muutos, €]]/Vertailu[[#This Row],[Suoritusrahoitus 2020, €]],0)</f>
        <v>3.4037044700990844E-2</v>
      </c>
      <c r="AF68" s="18">
        <f>IFERROR(VLOOKUP(Vertailu[[#This Row],[Y-tunnus]],'Suoritepäätös 2020'!$Q:$AC,COLUMN('Suoritepäätös 2020'!K:K),FALSE),0)</f>
        <v>447126</v>
      </c>
      <c r="AG68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416242</v>
      </c>
      <c r="AH68" s="18">
        <f>Vertailu[[#This Row],[Vaikuttavuusrahoitus 2021, €]]-Vertailu[[#This Row],[Vaikuttavuusrahoitus 2020, €]]</f>
        <v>-30884</v>
      </c>
      <c r="AI68" s="43">
        <f>IFERROR(Vertailu[[#This Row],[Vaikuttavuusrahoituksen muutos, €]]/Vertailu[[#This Row],[Vaikuttavuusrahoitus 2020, €]],0)</f>
        <v>-6.9072252564154182E-2</v>
      </c>
    </row>
    <row r="69" spans="1:35" ht="12.75" customHeight="1" x14ac:dyDescent="0.25">
      <c r="A69" s="22" t="s">
        <v>326</v>
      </c>
      <c r="B69" s="236" t="s">
        <v>71</v>
      </c>
      <c r="C69" s="142" t="s">
        <v>234</v>
      </c>
      <c r="D69" s="170" t="s">
        <v>393</v>
      </c>
      <c r="E69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0.68802538608626429</v>
      </c>
      <c r="F69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0.69340577004032733</v>
      </c>
      <c r="G69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0.20002119871277901</v>
      </c>
      <c r="H69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0.10657303124689367</v>
      </c>
      <c r="I69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8.3229742260328893E-2</v>
      </c>
      <c r="J69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5.3432593047799647E-3</v>
      </c>
      <c r="K69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1.8000029681784813E-2</v>
      </c>
      <c r="L69" s="18">
        <f>IFERROR(VLOOKUP(Vertailu[[#This Row],[Y-tunnus]],'Suoritepäätös 2020'!$Q:$AC,COLUMN('Suoritepäätös 2020'!L:L),FALSE)-VLOOKUP(Vertailu[[#This Row],[Y-tunnus]],'Suoritepäätös 2020'!$B:$N,COLUMN('Suoritepäätös 2020'!F:F),FALSE),0)</f>
        <v>22547324</v>
      </c>
      <c r="M69" s="18">
        <f>IFERROR(VLOOKUP(Vertailu[[#This Row],[Y-tunnus]],'1.2 Ohjaus-laskentataulu'!A:AY,COLUMN('1.2 Ohjaus-laskentataulu'!Z:Z),FALSE),0)</f>
        <v>22183241</v>
      </c>
      <c r="N69" s="18">
        <f>IFERROR(Vertailu[[#This Row],[Rahoitus pl. hark. kor. 2021 ilman alv, €]]-Vertailu[[#This Row],[Rahoitus pl. hark. kor. 2020 ilman alv, €]],0)</f>
        <v>-364083</v>
      </c>
      <c r="O69" s="43">
        <f>IFERROR(Vertailu[[#This Row],[Muutos, € 1]]/Vertailu[[#This Row],[Rahoitus pl. hark. kor. 2020 ilman alv, €]],0)</f>
        <v>-1.6147503801338021E-2</v>
      </c>
      <c r="P69" s="135">
        <f>IFERROR(VLOOKUP(Vertailu[[#This Row],[Y-tunnus]],'Suoritepäätös 2020'!$Q:$AC,COLUMN('Suoritepäätös 2020'!L:L),FALSE),0)</f>
        <v>22707324</v>
      </c>
      <c r="Q69" s="138">
        <f>IFERROR(VLOOKUP(Vertailu[[#This Row],[Y-tunnus]],'1.2 Ohjaus-laskentataulu'!A:AY,COLUMN('1.2 Ohjaus-laskentataulu'!AV:AV),FALSE),0)</f>
        <v>22303241</v>
      </c>
      <c r="R69" s="18">
        <f>IFERROR(Vertailu[[#This Row],[Rahoitus ml. hark. kor. 
2021 ilman alv, €]]-Vertailu[[#This Row],[Rahoitus ml. hark. kor. 
2020 ilman alv, €]],0)</f>
        <v>-404083</v>
      </c>
      <c r="S69" s="16">
        <f>IFERROR(Vertailu[[#This Row],[Muutos, € 2]]/Vertailu[[#This Row],[Rahoitus ml. hark. kor. 
2020 ilman alv, €]],0)</f>
        <v>-1.7795271692956863E-2</v>
      </c>
      <c r="T69" s="138">
        <f>IFERROR(VLOOKUP(Vertailu[[#This Row],[Y-tunnus]],'Suoritepäätös 2020'!$Q:$AC,COLUMN('Suoritepäätös 2020'!L:L),FALSE)+VLOOKUP(Vertailu[[#This Row],[Y-tunnus]],'Suoritepäätös 2020'!$Q:$AC,COLUMN('Suoritepäätös 2020'!M:M),FALSE),0)</f>
        <v>22707324</v>
      </c>
      <c r="U69" s="135">
        <f>IFERROR(VLOOKUP(Vertailu[[#This Row],[Y-tunnus]],'1.2 Ohjaus-laskentataulu'!A:AY,COLUMN('1.2 Ohjaus-laskentataulu'!AX:AX),FALSE),0)</f>
        <v>22303241</v>
      </c>
      <c r="V69" s="141">
        <f>IFERROR(Vertailu[[#This Row],[Rahoitus ml. hark. kor. + alv 2021, €]]-Vertailu[[#This Row],[Rahoitus ml. hark. kor. + alv 2020, €]],0)</f>
        <v>-404083</v>
      </c>
      <c r="W69" s="43">
        <f>IFERROR(Vertailu[[#This Row],[Muutos, € 3]]/Vertailu[[#This Row],[Rahoitus ml. hark. kor. + alv 2020, €]],0)</f>
        <v>-1.7795271692956863E-2</v>
      </c>
      <c r="X69" s="18">
        <f>IFERROR(VLOOKUP(Vertailu[[#This Row],[Y-tunnus]],'Suoritepäätös 2020'!$B:$N,COLUMN('Suoritepäätös 2020'!G:G),FALSE),0)</f>
        <v>15154818</v>
      </c>
      <c r="Y69" s="18">
        <f>IFERROR(VLOOKUP(Vertailu[[#This Row],[Y-tunnus]],'1.2 Ohjaus-laskentataulu'!A:AY,COLUMN('1.2 Ohjaus-laskentataulu'!AS:AS),FALSE),0)</f>
        <v>15465196</v>
      </c>
      <c r="Z69" s="18">
        <f>Vertailu[[#This Row],[Perusrahoitus 2021, €]]-Vertailu[[#This Row],[Perusrahoitus 2020, €]]</f>
        <v>310378</v>
      </c>
      <c r="AA69" s="43">
        <f>IFERROR(Vertailu[[#This Row],[Perusrahoituksen muutos, €]]/Vertailu[[#This Row],[Perusrahoitus 2020, €]],0)</f>
        <v>2.0480483500362724E-2</v>
      </c>
      <c r="AB69" s="18">
        <f>IFERROR(VLOOKUP(Vertailu[[#This Row],[Y-tunnus]],'Suoritepäätös 2020'!$B:$N,COLUMN('Suoritepäätös 2020'!M:M),FALSE),0)</f>
        <v>5210450</v>
      </c>
      <c r="AC69" s="18">
        <f>IFERROR(VLOOKUP(Vertailu[[#This Row],[Y-tunnus]],'1.2 Ohjaus-laskentataulu'!A:AY,COLUMN('1.2 Ohjaus-laskentataulu'!O:O),FALSE),0)</f>
        <v>4461121</v>
      </c>
      <c r="AD69" s="18">
        <f>Vertailu[[#This Row],[Suoritusrahoitus 2021, €]]-Vertailu[[#This Row],[Suoritusrahoitus 2020, €]]</f>
        <v>-749329</v>
      </c>
      <c r="AE69" s="43">
        <f>IFERROR(Vertailu[[#This Row],[Suoritusrahoituksen muutos, €]]/Vertailu[[#This Row],[Suoritusrahoitus 2020, €]],0)</f>
        <v>-0.14381272250957211</v>
      </c>
      <c r="AF69" s="18">
        <f>IFERROR(VLOOKUP(Vertailu[[#This Row],[Y-tunnus]],'Suoritepäätös 2020'!$Q:$AC,COLUMN('Suoritepäätös 2020'!K:K),FALSE),0)</f>
        <v>2342056</v>
      </c>
      <c r="AG69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2376924</v>
      </c>
      <c r="AH69" s="18">
        <f>Vertailu[[#This Row],[Vaikuttavuusrahoitus 2021, €]]-Vertailu[[#This Row],[Vaikuttavuusrahoitus 2020, €]]</f>
        <v>34868</v>
      </c>
      <c r="AI69" s="43">
        <f>IFERROR(Vertailu[[#This Row],[Vaikuttavuusrahoituksen muutos, €]]/Vertailu[[#This Row],[Vaikuttavuusrahoitus 2020, €]],0)</f>
        <v>1.488777381924258E-2</v>
      </c>
    </row>
    <row r="70" spans="1:35" ht="12.75" customHeight="1" x14ac:dyDescent="0.25">
      <c r="A70" s="22" t="s">
        <v>322</v>
      </c>
      <c r="B70" s="236" t="s">
        <v>72</v>
      </c>
      <c r="C70" s="142" t="s">
        <v>224</v>
      </c>
      <c r="D70" s="170" t="s">
        <v>392</v>
      </c>
      <c r="E70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0.60607194787902474</v>
      </c>
      <c r="F70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0.60607194787902474</v>
      </c>
      <c r="G70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0.2050623855216569</v>
      </c>
      <c r="H70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0.18886566659931836</v>
      </c>
      <c r="I70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0.12752349186686232</v>
      </c>
      <c r="J70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2.4233802453024547E-2</v>
      </c>
      <c r="K70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3.7108372279431492E-2</v>
      </c>
      <c r="L70" s="18">
        <f>IFERROR(VLOOKUP(Vertailu[[#This Row],[Y-tunnus]],'Suoritepäätös 2020'!$Q:$AC,COLUMN('Suoritepäätös 2020'!L:L),FALSE)-VLOOKUP(Vertailu[[#This Row],[Y-tunnus]],'Suoritepäätös 2020'!$B:$N,COLUMN('Suoritepäätös 2020'!F:F),FALSE),0)</f>
        <v>737125</v>
      </c>
      <c r="M70" s="18">
        <f>IFERROR(VLOOKUP(Vertailu[[#This Row],[Y-tunnus]],'1.2 Ohjaus-laskentataulu'!A:AY,COLUMN('1.2 Ohjaus-laskentataulu'!Z:Z),FALSE),0)</f>
        <v>603826</v>
      </c>
      <c r="N70" s="18">
        <f>IFERROR(Vertailu[[#This Row],[Rahoitus pl. hark. kor. 2021 ilman alv, €]]-Vertailu[[#This Row],[Rahoitus pl. hark. kor. 2020 ilman alv, €]],0)</f>
        <v>-133299</v>
      </c>
      <c r="O70" s="43">
        <f>IFERROR(Vertailu[[#This Row],[Muutos, € 1]]/Vertailu[[#This Row],[Rahoitus pl. hark. kor. 2020 ilman alv, €]],0)</f>
        <v>-0.18083635746989996</v>
      </c>
      <c r="P70" s="135">
        <f>IFERROR(VLOOKUP(Vertailu[[#This Row],[Y-tunnus]],'Suoritepäätös 2020'!$Q:$AC,COLUMN('Suoritepäätös 2020'!L:L),FALSE),0)</f>
        <v>737125</v>
      </c>
      <c r="Q70" s="138">
        <f>IFERROR(VLOOKUP(Vertailu[[#This Row],[Y-tunnus]],'1.2 Ohjaus-laskentataulu'!A:AY,COLUMN('1.2 Ohjaus-laskentataulu'!AV:AV),FALSE),0)</f>
        <v>603826</v>
      </c>
      <c r="R70" s="18">
        <f>IFERROR(Vertailu[[#This Row],[Rahoitus ml. hark. kor. 
2021 ilman alv, €]]-Vertailu[[#This Row],[Rahoitus ml. hark. kor. 
2020 ilman alv, €]],0)</f>
        <v>-133299</v>
      </c>
      <c r="S70" s="16">
        <f>IFERROR(Vertailu[[#This Row],[Muutos, € 2]]/Vertailu[[#This Row],[Rahoitus ml. hark. kor. 
2020 ilman alv, €]],0)</f>
        <v>-0.18083635746989996</v>
      </c>
      <c r="T70" s="138">
        <f>IFERROR(VLOOKUP(Vertailu[[#This Row],[Y-tunnus]],'Suoritepäätös 2020'!$Q:$AC,COLUMN('Suoritepäätös 2020'!L:L),FALSE)+VLOOKUP(Vertailu[[#This Row],[Y-tunnus]],'Suoritepäätös 2020'!$Q:$AC,COLUMN('Suoritepäätös 2020'!M:M),FALSE),0)</f>
        <v>764609</v>
      </c>
      <c r="U70" s="135">
        <f>IFERROR(VLOOKUP(Vertailu[[#This Row],[Y-tunnus]],'1.2 Ohjaus-laskentataulu'!A:AY,COLUMN('1.2 Ohjaus-laskentataulu'!AX:AX),FALSE),0)</f>
        <v>648481</v>
      </c>
      <c r="V70" s="141">
        <f>IFERROR(Vertailu[[#This Row],[Rahoitus ml. hark. kor. + alv 2021, €]]-Vertailu[[#This Row],[Rahoitus ml. hark. kor. + alv 2020, €]],0)</f>
        <v>-116128</v>
      </c>
      <c r="W70" s="43">
        <f>IFERROR(Vertailu[[#This Row],[Muutos, € 3]]/Vertailu[[#This Row],[Rahoitus ml. hark. kor. + alv 2020, €]],0)</f>
        <v>-0.151878934200356</v>
      </c>
      <c r="X70" s="18">
        <f>IFERROR(VLOOKUP(Vertailu[[#This Row],[Y-tunnus]],'Suoritepäätös 2020'!$B:$N,COLUMN('Suoritepäätös 2020'!G:G),FALSE),0)</f>
        <v>444409</v>
      </c>
      <c r="Y70" s="18">
        <f>IFERROR(VLOOKUP(Vertailu[[#This Row],[Y-tunnus]],'1.2 Ohjaus-laskentataulu'!A:AY,COLUMN('1.2 Ohjaus-laskentataulu'!AS:AS),FALSE),0)</f>
        <v>365962</v>
      </c>
      <c r="Z70" s="18">
        <f>Vertailu[[#This Row],[Perusrahoitus 2021, €]]-Vertailu[[#This Row],[Perusrahoitus 2020, €]]</f>
        <v>-78447</v>
      </c>
      <c r="AA70" s="43">
        <f>IFERROR(Vertailu[[#This Row],[Perusrahoituksen muutos, €]]/Vertailu[[#This Row],[Perusrahoitus 2020, €]],0)</f>
        <v>-0.17651982745623965</v>
      </c>
      <c r="AB70" s="18">
        <f>IFERROR(VLOOKUP(Vertailu[[#This Row],[Y-tunnus]],'Suoritepäätös 2020'!$B:$N,COLUMN('Suoritepäätös 2020'!M:M),FALSE),0)</f>
        <v>162226</v>
      </c>
      <c r="AC70" s="18">
        <f>IFERROR(VLOOKUP(Vertailu[[#This Row],[Y-tunnus]],'1.2 Ohjaus-laskentataulu'!A:AY,COLUMN('1.2 Ohjaus-laskentataulu'!O:O),FALSE),0)</f>
        <v>123822</v>
      </c>
      <c r="AD70" s="18">
        <f>Vertailu[[#This Row],[Suoritusrahoitus 2021, €]]-Vertailu[[#This Row],[Suoritusrahoitus 2020, €]]</f>
        <v>-38404</v>
      </c>
      <c r="AE70" s="43">
        <f>IFERROR(Vertailu[[#This Row],[Suoritusrahoituksen muutos, €]]/Vertailu[[#This Row],[Suoritusrahoitus 2020, €]],0)</f>
        <v>-0.23673147337664741</v>
      </c>
      <c r="AF70" s="18">
        <f>IFERROR(VLOOKUP(Vertailu[[#This Row],[Y-tunnus]],'Suoritepäätös 2020'!$Q:$AC,COLUMN('Suoritepäätös 2020'!K:K),FALSE),0)</f>
        <v>130490</v>
      </c>
      <c r="AG70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114042</v>
      </c>
      <c r="AH70" s="18">
        <f>Vertailu[[#This Row],[Vaikuttavuusrahoitus 2021, €]]-Vertailu[[#This Row],[Vaikuttavuusrahoitus 2020, €]]</f>
        <v>-16448</v>
      </c>
      <c r="AI70" s="43">
        <f>IFERROR(Vertailu[[#This Row],[Vaikuttavuusrahoituksen muutos, €]]/Vertailu[[#This Row],[Vaikuttavuusrahoitus 2020, €]],0)</f>
        <v>-0.12604797302475285</v>
      </c>
    </row>
    <row r="71" spans="1:35" ht="12.75" customHeight="1" x14ac:dyDescent="0.25">
      <c r="A71" s="22" t="s">
        <v>321</v>
      </c>
      <c r="B71" s="236" t="s">
        <v>73</v>
      </c>
      <c r="C71" s="142" t="s">
        <v>220</v>
      </c>
      <c r="D71" s="170" t="s">
        <v>392</v>
      </c>
      <c r="E71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0.69452891065667</v>
      </c>
      <c r="F71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0.70818308057189128</v>
      </c>
      <c r="G71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0.23768769363319711</v>
      </c>
      <c r="H71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5.412922579491164E-2</v>
      </c>
      <c r="I71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4.8838234952763397E-2</v>
      </c>
      <c r="J71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2.9684165395691018E-3</v>
      </c>
      <c r="K71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2.3225743025791362E-3</v>
      </c>
      <c r="L71" s="18">
        <f>IFERROR(VLOOKUP(Vertailu[[#This Row],[Y-tunnus]],'Suoritepäätös 2020'!$Q:$AC,COLUMN('Suoritepäätös 2020'!L:L),FALSE)-VLOOKUP(Vertailu[[#This Row],[Y-tunnus]],'Suoritepäätös 2020'!$B:$N,COLUMN('Suoritepäätös 2020'!F:F),FALSE),0)</f>
        <v>801879</v>
      </c>
      <c r="M71" s="18">
        <f>IFERROR(VLOOKUP(Vertailu[[#This Row],[Y-tunnus]],'1.2 Ohjaus-laskentataulu'!A:AY,COLUMN('1.2 Ohjaus-laskentataulu'!Z:Z),FALSE),0)</f>
        <v>722377</v>
      </c>
      <c r="N71" s="18">
        <f>IFERROR(Vertailu[[#This Row],[Rahoitus pl. hark. kor. 2021 ilman alv, €]]-Vertailu[[#This Row],[Rahoitus pl. hark. kor. 2020 ilman alv, €]],0)</f>
        <v>-79502</v>
      </c>
      <c r="O71" s="43">
        <f>IFERROR(Vertailu[[#This Row],[Muutos, € 1]]/Vertailu[[#This Row],[Rahoitus pl. hark. kor. 2020 ilman alv, €]],0)</f>
        <v>-9.9144634040796681E-2</v>
      </c>
      <c r="P71" s="135">
        <f>IFERROR(VLOOKUP(Vertailu[[#This Row],[Y-tunnus]],'Suoritepäätös 2020'!$Q:$AC,COLUMN('Suoritepäätös 2020'!L:L),FALSE),0)</f>
        <v>801879</v>
      </c>
      <c r="Q71" s="138">
        <f>IFERROR(VLOOKUP(Vertailu[[#This Row],[Y-tunnus]],'1.2 Ohjaus-laskentataulu'!A:AY,COLUMN('1.2 Ohjaus-laskentataulu'!AV:AV),FALSE),0)</f>
        <v>732377</v>
      </c>
      <c r="R71" s="18">
        <f>IFERROR(Vertailu[[#This Row],[Rahoitus ml. hark. kor. 
2021 ilman alv, €]]-Vertailu[[#This Row],[Rahoitus ml. hark. kor. 
2020 ilman alv, €]],0)</f>
        <v>-69502</v>
      </c>
      <c r="S71" s="16">
        <f>IFERROR(Vertailu[[#This Row],[Muutos, € 2]]/Vertailu[[#This Row],[Rahoitus ml. hark. kor. 
2020 ilman alv, €]],0)</f>
        <v>-8.6673924619549828E-2</v>
      </c>
      <c r="T71" s="138">
        <f>IFERROR(VLOOKUP(Vertailu[[#This Row],[Y-tunnus]],'Suoritepäätös 2020'!$Q:$AC,COLUMN('Suoritepäätös 2020'!L:L),FALSE)+VLOOKUP(Vertailu[[#This Row],[Y-tunnus]],'Suoritepäätös 2020'!$Q:$AC,COLUMN('Suoritepäätös 2020'!M:M),FALSE),0)</f>
        <v>815228</v>
      </c>
      <c r="U71" s="135">
        <f>IFERROR(VLOOKUP(Vertailu[[#This Row],[Y-tunnus]],'1.2 Ohjaus-laskentataulu'!A:AY,COLUMN('1.2 Ohjaus-laskentataulu'!AX:AX),FALSE),0)</f>
        <v>743325</v>
      </c>
      <c r="V71" s="141">
        <f>IFERROR(Vertailu[[#This Row],[Rahoitus ml. hark. kor. + alv 2021, €]]-Vertailu[[#This Row],[Rahoitus ml. hark. kor. + alv 2020, €]],0)</f>
        <v>-71903</v>
      </c>
      <c r="W71" s="43">
        <f>IFERROR(Vertailu[[#This Row],[Muutos, € 3]]/Vertailu[[#This Row],[Rahoitus ml. hark. kor. + alv 2020, €]],0)</f>
        <v>-8.8199865559082852E-2</v>
      </c>
      <c r="X71" s="18">
        <f>IFERROR(VLOOKUP(Vertailu[[#This Row],[Y-tunnus]],'Suoritepäätös 2020'!$B:$N,COLUMN('Suoritepäätös 2020'!G:G),FALSE),0)</f>
        <v>488083</v>
      </c>
      <c r="Y71" s="18">
        <f>IFERROR(VLOOKUP(Vertailu[[#This Row],[Y-tunnus]],'1.2 Ohjaus-laskentataulu'!A:AY,COLUMN('1.2 Ohjaus-laskentataulu'!AS:AS),FALSE),0)</f>
        <v>518657</v>
      </c>
      <c r="Z71" s="18">
        <f>Vertailu[[#This Row],[Perusrahoitus 2021, €]]-Vertailu[[#This Row],[Perusrahoitus 2020, €]]</f>
        <v>30574</v>
      </c>
      <c r="AA71" s="43">
        <f>IFERROR(Vertailu[[#This Row],[Perusrahoituksen muutos, €]]/Vertailu[[#This Row],[Perusrahoitus 2020, €]],0)</f>
        <v>6.2640985242264122E-2</v>
      </c>
      <c r="AB71" s="18">
        <f>IFERROR(VLOOKUP(Vertailu[[#This Row],[Y-tunnus]],'Suoritepäätös 2020'!$B:$N,COLUMN('Suoritepäätös 2020'!M:M),FALSE),0)</f>
        <v>231836</v>
      </c>
      <c r="AC71" s="18">
        <f>IFERROR(VLOOKUP(Vertailu[[#This Row],[Y-tunnus]],'1.2 Ohjaus-laskentataulu'!A:AY,COLUMN('1.2 Ohjaus-laskentataulu'!O:O),FALSE),0)</f>
        <v>174077</v>
      </c>
      <c r="AD71" s="18">
        <f>Vertailu[[#This Row],[Suoritusrahoitus 2021, €]]-Vertailu[[#This Row],[Suoritusrahoitus 2020, €]]</f>
        <v>-57759</v>
      </c>
      <c r="AE71" s="43">
        <f>IFERROR(Vertailu[[#This Row],[Suoritusrahoituksen muutos, €]]/Vertailu[[#This Row],[Suoritusrahoitus 2020, €]],0)</f>
        <v>-0.24913732120982074</v>
      </c>
      <c r="AF71" s="18">
        <f>IFERROR(VLOOKUP(Vertailu[[#This Row],[Y-tunnus]],'Suoritepäätös 2020'!$Q:$AC,COLUMN('Suoritepäätös 2020'!K:K),FALSE),0)</f>
        <v>81960</v>
      </c>
      <c r="AG71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39643</v>
      </c>
      <c r="AH71" s="18">
        <f>Vertailu[[#This Row],[Vaikuttavuusrahoitus 2021, €]]-Vertailu[[#This Row],[Vaikuttavuusrahoitus 2020, €]]</f>
        <v>-42317</v>
      </c>
      <c r="AI71" s="43">
        <f>IFERROR(Vertailu[[#This Row],[Vaikuttavuusrahoituksen muutos, €]]/Vertailu[[#This Row],[Vaikuttavuusrahoitus 2020, €]],0)</f>
        <v>-0.51631283552952656</v>
      </c>
    </row>
    <row r="72" spans="1:35" ht="12.75" customHeight="1" x14ac:dyDescent="0.25">
      <c r="A72" s="22" t="s">
        <v>320</v>
      </c>
      <c r="B72" s="236" t="s">
        <v>74</v>
      </c>
      <c r="C72" s="142" t="s">
        <v>220</v>
      </c>
      <c r="D72" s="170" t="s">
        <v>392</v>
      </c>
      <c r="E72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0.69101059216350669</v>
      </c>
      <c r="F72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0.69101059216350669</v>
      </c>
      <c r="G72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0.20825600050331874</v>
      </c>
      <c r="H72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0.10073340733317455</v>
      </c>
      <c r="I72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7.3530601331098358E-2</v>
      </c>
      <c r="J72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7.8744669090386171E-3</v>
      </c>
      <c r="K72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1.9328339093037574E-2</v>
      </c>
      <c r="L72" s="18">
        <f>IFERROR(VLOOKUP(Vertailu[[#This Row],[Y-tunnus]],'Suoritepäätös 2020'!$Q:$AC,COLUMN('Suoritepäätös 2020'!L:L),FALSE)-VLOOKUP(Vertailu[[#This Row],[Y-tunnus]],'Suoritepäätös 2020'!$B:$N,COLUMN('Suoritepäätös 2020'!F:F),FALSE),0)</f>
        <v>971730</v>
      </c>
      <c r="M72" s="18">
        <f>IFERROR(VLOOKUP(Vertailu[[#This Row],[Y-tunnus]],'1.2 Ohjaus-laskentataulu'!A:AY,COLUMN('1.2 Ohjaus-laskentataulu'!Z:Z),FALSE),0)</f>
        <v>890092</v>
      </c>
      <c r="N72" s="18">
        <f>IFERROR(Vertailu[[#This Row],[Rahoitus pl. hark. kor. 2021 ilman alv, €]]-Vertailu[[#This Row],[Rahoitus pl. hark. kor. 2020 ilman alv, €]],0)</f>
        <v>-81638</v>
      </c>
      <c r="O72" s="43">
        <f>IFERROR(Vertailu[[#This Row],[Muutos, € 1]]/Vertailu[[#This Row],[Rahoitus pl. hark. kor. 2020 ilman alv, €]],0)</f>
        <v>-8.4013048892181988E-2</v>
      </c>
      <c r="P72" s="135">
        <f>IFERROR(VLOOKUP(Vertailu[[#This Row],[Y-tunnus]],'Suoritepäätös 2020'!$Q:$AC,COLUMN('Suoritepäätös 2020'!L:L),FALSE),0)</f>
        <v>971730</v>
      </c>
      <c r="Q72" s="138">
        <f>IFERROR(VLOOKUP(Vertailu[[#This Row],[Y-tunnus]],'1.2 Ohjaus-laskentataulu'!A:AY,COLUMN('1.2 Ohjaus-laskentataulu'!AV:AV),FALSE),0)</f>
        <v>890092</v>
      </c>
      <c r="R72" s="18">
        <f>IFERROR(Vertailu[[#This Row],[Rahoitus ml. hark. kor. 
2021 ilman alv, €]]-Vertailu[[#This Row],[Rahoitus ml. hark. kor. 
2020 ilman alv, €]],0)</f>
        <v>-81638</v>
      </c>
      <c r="S72" s="16">
        <f>IFERROR(Vertailu[[#This Row],[Muutos, € 2]]/Vertailu[[#This Row],[Rahoitus ml. hark. kor. 
2020 ilman alv, €]],0)</f>
        <v>-8.4013048892181988E-2</v>
      </c>
      <c r="T72" s="138">
        <f>IFERROR(VLOOKUP(Vertailu[[#This Row],[Y-tunnus]],'Suoritepäätös 2020'!$Q:$AC,COLUMN('Suoritepäätös 2020'!L:L),FALSE)+VLOOKUP(Vertailu[[#This Row],[Y-tunnus]],'Suoritepäätös 2020'!$Q:$AC,COLUMN('Suoritepäätös 2020'!M:M),FALSE),0)</f>
        <v>1028990</v>
      </c>
      <c r="U72" s="135">
        <f>IFERROR(VLOOKUP(Vertailu[[#This Row],[Y-tunnus]],'1.2 Ohjaus-laskentataulu'!A:AY,COLUMN('1.2 Ohjaus-laskentataulu'!AX:AX),FALSE),0)</f>
        <v>946358</v>
      </c>
      <c r="V72" s="141">
        <f>IFERROR(Vertailu[[#This Row],[Rahoitus ml. hark. kor. + alv 2021, €]]-Vertailu[[#This Row],[Rahoitus ml. hark. kor. + alv 2020, €]],0)</f>
        <v>-82632</v>
      </c>
      <c r="W72" s="43">
        <f>IFERROR(Vertailu[[#This Row],[Muutos, € 3]]/Vertailu[[#This Row],[Rahoitus ml. hark. kor. + alv 2020, €]],0)</f>
        <v>-8.0303987405125413E-2</v>
      </c>
      <c r="X72" s="18">
        <f>IFERROR(VLOOKUP(Vertailu[[#This Row],[Y-tunnus]],'Suoritepäätös 2020'!$B:$N,COLUMN('Suoritepäätös 2020'!G:G),FALSE),0)</f>
        <v>573659</v>
      </c>
      <c r="Y72" s="18">
        <f>IFERROR(VLOOKUP(Vertailu[[#This Row],[Y-tunnus]],'1.2 Ohjaus-laskentataulu'!A:AY,COLUMN('1.2 Ohjaus-laskentataulu'!AS:AS),FALSE),0)</f>
        <v>615063</v>
      </c>
      <c r="Z72" s="18">
        <f>Vertailu[[#This Row],[Perusrahoitus 2021, €]]-Vertailu[[#This Row],[Perusrahoitus 2020, €]]</f>
        <v>41404</v>
      </c>
      <c r="AA72" s="43">
        <f>IFERROR(Vertailu[[#This Row],[Perusrahoituksen muutos, €]]/Vertailu[[#This Row],[Perusrahoitus 2020, €]],0)</f>
        <v>7.21752818311924E-2</v>
      </c>
      <c r="AB72" s="18">
        <f>IFERROR(VLOOKUP(Vertailu[[#This Row],[Y-tunnus]],'Suoritepäätös 2020'!$B:$N,COLUMN('Suoritepäätös 2020'!M:M),FALSE),0)</f>
        <v>278855</v>
      </c>
      <c r="AC72" s="18">
        <f>IFERROR(VLOOKUP(Vertailu[[#This Row],[Y-tunnus]],'1.2 Ohjaus-laskentataulu'!A:AY,COLUMN('1.2 Ohjaus-laskentataulu'!O:O),FALSE),0)</f>
        <v>185367</v>
      </c>
      <c r="AD72" s="18">
        <f>Vertailu[[#This Row],[Suoritusrahoitus 2021, €]]-Vertailu[[#This Row],[Suoritusrahoitus 2020, €]]</f>
        <v>-93488</v>
      </c>
      <c r="AE72" s="43">
        <f>IFERROR(Vertailu[[#This Row],[Suoritusrahoituksen muutos, €]]/Vertailu[[#This Row],[Suoritusrahoitus 2020, €]],0)</f>
        <v>-0.3352566746158398</v>
      </c>
      <c r="AF72" s="18">
        <f>IFERROR(VLOOKUP(Vertailu[[#This Row],[Y-tunnus]],'Suoritepäätös 2020'!$Q:$AC,COLUMN('Suoritepäätös 2020'!K:K),FALSE),0)</f>
        <v>119216</v>
      </c>
      <c r="AG72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89662</v>
      </c>
      <c r="AH72" s="18">
        <f>Vertailu[[#This Row],[Vaikuttavuusrahoitus 2021, €]]-Vertailu[[#This Row],[Vaikuttavuusrahoitus 2020, €]]</f>
        <v>-29554</v>
      </c>
      <c r="AI72" s="43">
        <f>IFERROR(Vertailu[[#This Row],[Vaikuttavuusrahoituksen muutos, €]]/Vertailu[[#This Row],[Vaikuttavuusrahoitus 2020, €]],0)</f>
        <v>-0.2479029660448262</v>
      </c>
    </row>
    <row r="73" spans="1:35" ht="12.75" customHeight="1" x14ac:dyDescent="0.25">
      <c r="A73" s="22" t="s">
        <v>319</v>
      </c>
      <c r="B73" s="236" t="s">
        <v>75</v>
      </c>
      <c r="C73" s="142" t="s">
        <v>249</v>
      </c>
      <c r="D73" s="170" t="s">
        <v>392</v>
      </c>
      <c r="E73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0.71357873816430739</v>
      </c>
      <c r="F73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0.71357873816430739</v>
      </c>
      <c r="G73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0.17086499082958556</v>
      </c>
      <c r="H73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0.1155562710061071</v>
      </c>
      <c r="I73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8.1089705275119578E-2</v>
      </c>
      <c r="J73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7.7997339603474228E-3</v>
      </c>
      <c r="K73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2.6666831770640099E-2</v>
      </c>
      <c r="L73" s="18">
        <f>IFERROR(VLOOKUP(Vertailu[[#This Row],[Y-tunnus]],'Suoritepäätös 2020'!$Q:$AC,COLUMN('Suoritepäätös 2020'!L:L),FALSE)-VLOOKUP(Vertailu[[#This Row],[Y-tunnus]],'Suoritepäätös 2020'!$B:$N,COLUMN('Suoritepäätös 2020'!F:F),FALSE),0)</f>
        <v>1853256</v>
      </c>
      <c r="M73" s="18">
        <f>IFERROR(VLOOKUP(Vertailu[[#This Row],[Y-tunnus]],'1.2 Ohjaus-laskentataulu'!A:AY,COLUMN('1.2 Ohjaus-laskentataulu'!Z:Z),FALSE),0)</f>
        <v>2099687</v>
      </c>
      <c r="N73" s="18">
        <f>IFERROR(Vertailu[[#This Row],[Rahoitus pl. hark. kor. 2021 ilman alv, €]]-Vertailu[[#This Row],[Rahoitus pl. hark. kor. 2020 ilman alv, €]],0)</f>
        <v>246431</v>
      </c>
      <c r="O73" s="43">
        <f>IFERROR(Vertailu[[#This Row],[Muutos, € 1]]/Vertailu[[#This Row],[Rahoitus pl. hark. kor. 2020 ilman alv, €]],0)</f>
        <v>0.13297191537488615</v>
      </c>
      <c r="P73" s="135">
        <f>IFERROR(VLOOKUP(Vertailu[[#This Row],[Y-tunnus]],'Suoritepäätös 2020'!$Q:$AC,COLUMN('Suoritepäätös 2020'!L:L),FALSE),0)</f>
        <v>1853256</v>
      </c>
      <c r="Q73" s="138">
        <f>IFERROR(VLOOKUP(Vertailu[[#This Row],[Y-tunnus]],'1.2 Ohjaus-laskentataulu'!A:AY,COLUMN('1.2 Ohjaus-laskentataulu'!AV:AV),FALSE),0)</f>
        <v>2099687</v>
      </c>
      <c r="R73" s="18">
        <f>IFERROR(Vertailu[[#This Row],[Rahoitus ml. hark. kor. 
2021 ilman alv, €]]-Vertailu[[#This Row],[Rahoitus ml. hark. kor. 
2020 ilman alv, €]],0)</f>
        <v>246431</v>
      </c>
      <c r="S73" s="16">
        <f>IFERROR(Vertailu[[#This Row],[Muutos, € 2]]/Vertailu[[#This Row],[Rahoitus ml. hark. kor. 
2020 ilman alv, €]],0)</f>
        <v>0.13297191537488615</v>
      </c>
      <c r="T73" s="138">
        <f>IFERROR(VLOOKUP(Vertailu[[#This Row],[Y-tunnus]],'Suoritepäätös 2020'!$Q:$AC,COLUMN('Suoritepäätös 2020'!L:L),FALSE)+VLOOKUP(Vertailu[[#This Row],[Y-tunnus]],'Suoritepäätös 2020'!$Q:$AC,COLUMN('Suoritepäätös 2020'!M:M),FALSE),0)</f>
        <v>1995977</v>
      </c>
      <c r="U73" s="135">
        <f>IFERROR(VLOOKUP(Vertailu[[#This Row],[Y-tunnus]],'1.2 Ohjaus-laskentataulu'!A:AY,COLUMN('1.2 Ohjaus-laskentataulu'!AX:AX),FALSE),0)</f>
        <v>2242743</v>
      </c>
      <c r="V73" s="141">
        <f>IFERROR(Vertailu[[#This Row],[Rahoitus ml. hark. kor. + alv 2021, €]]-Vertailu[[#This Row],[Rahoitus ml. hark. kor. + alv 2020, €]],0)</f>
        <v>246766</v>
      </c>
      <c r="W73" s="43">
        <f>IFERROR(Vertailu[[#This Row],[Muutos, € 3]]/Vertailu[[#This Row],[Rahoitus ml. hark. kor. + alv 2020, €]],0)</f>
        <v>0.12363168513464834</v>
      </c>
      <c r="X73" s="18">
        <f>IFERROR(VLOOKUP(Vertailu[[#This Row],[Y-tunnus]],'Suoritepäätös 2020'!$B:$N,COLUMN('Suoritepäätös 2020'!G:G),FALSE),0)</f>
        <v>1155581</v>
      </c>
      <c r="Y73" s="18">
        <f>IFERROR(VLOOKUP(Vertailu[[#This Row],[Y-tunnus]],'1.2 Ohjaus-laskentataulu'!A:AY,COLUMN('1.2 Ohjaus-laskentataulu'!AS:AS),FALSE),0)</f>
        <v>1498292</v>
      </c>
      <c r="Z73" s="18">
        <f>Vertailu[[#This Row],[Perusrahoitus 2021, €]]-Vertailu[[#This Row],[Perusrahoitus 2020, €]]</f>
        <v>342711</v>
      </c>
      <c r="AA73" s="43">
        <f>IFERROR(Vertailu[[#This Row],[Perusrahoituksen muutos, €]]/Vertailu[[#This Row],[Perusrahoitus 2020, €]],0)</f>
        <v>0.29657029667327517</v>
      </c>
      <c r="AB73" s="18">
        <f>IFERROR(VLOOKUP(Vertailu[[#This Row],[Y-tunnus]],'Suoritepäätös 2020'!$B:$N,COLUMN('Suoritepäätös 2020'!M:M),FALSE),0)</f>
        <v>466499</v>
      </c>
      <c r="AC73" s="18">
        <f>IFERROR(VLOOKUP(Vertailu[[#This Row],[Y-tunnus]],'1.2 Ohjaus-laskentataulu'!A:AY,COLUMN('1.2 Ohjaus-laskentataulu'!O:O),FALSE),0)</f>
        <v>358763</v>
      </c>
      <c r="AD73" s="18">
        <f>Vertailu[[#This Row],[Suoritusrahoitus 2021, €]]-Vertailu[[#This Row],[Suoritusrahoitus 2020, €]]</f>
        <v>-107736</v>
      </c>
      <c r="AE73" s="43">
        <f>IFERROR(Vertailu[[#This Row],[Suoritusrahoituksen muutos, €]]/Vertailu[[#This Row],[Suoritusrahoitus 2020, €]],0)</f>
        <v>-0.23094583268131336</v>
      </c>
      <c r="AF73" s="18">
        <f>IFERROR(VLOOKUP(Vertailu[[#This Row],[Y-tunnus]],'Suoritepäätös 2020'!$Q:$AC,COLUMN('Suoritepäätös 2020'!K:K),FALSE),0)</f>
        <v>231176</v>
      </c>
      <c r="AG73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242632</v>
      </c>
      <c r="AH73" s="18">
        <f>Vertailu[[#This Row],[Vaikuttavuusrahoitus 2021, €]]-Vertailu[[#This Row],[Vaikuttavuusrahoitus 2020, €]]</f>
        <v>11456</v>
      </c>
      <c r="AI73" s="43">
        <f>IFERROR(Vertailu[[#This Row],[Vaikuttavuusrahoituksen muutos, €]]/Vertailu[[#This Row],[Vaikuttavuusrahoitus 2020, €]],0)</f>
        <v>4.9555317160950962E-2</v>
      </c>
    </row>
    <row r="74" spans="1:35" ht="12.75" customHeight="1" x14ac:dyDescent="0.25">
      <c r="A74" s="22" t="s">
        <v>317</v>
      </c>
      <c r="B74" s="236" t="s">
        <v>164</v>
      </c>
      <c r="C74" s="142" t="s">
        <v>222</v>
      </c>
      <c r="D74" s="170" t="s">
        <v>391</v>
      </c>
      <c r="E74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0.7153012669838904</v>
      </c>
      <c r="F74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0.7153012669838904</v>
      </c>
      <c r="G74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0.16528120162816029</v>
      </c>
      <c r="H74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0.11941753138794932</v>
      </c>
      <c r="I74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7.6494050007780451E-2</v>
      </c>
      <c r="J74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7.0965839755612161E-3</v>
      </c>
      <c r="K74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3.5826897404607663E-2</v>
      </c>
      <c r="L74" s="18">
        <f>IFERROR(VLOOKUP(Vertailu[[#This Row],[Y-tunnus]],'Suoritepäätös 2020'!$Q:$AC,COLUMN('Suoritepäätös 2020'!L:L),FALSE)-VLOOKUP(Vertailu[[#This Row],[Y-tunnus]],'Suoritepäätös 2020'!$B:$N,COLUMN('Suoritepäätös 2020'!F:F),FALSE),0)</f>
        <v>204042</v>
      </c>
      <c r="M74" s="18">
        <f>IFERROR(VLOOKUP(Vertailu[[#This Row],[Y-tunnus]],'1.2 Ohjaus-laskentataulu'!A:AY,COLUMN('1.2 Ohjaus-laskentataulu'!Z:Z),FALSE),0)</f>
        <v>244202</v>
      </c>
      <c r="N74" s="18">
        <f>IFERROR(Vertailu[[#This Row],[Rahoitus pl. hark. kor. 2021 ilman alv, €]]-Vertailu[[#This Row],[Rahoitus pl. hark. kor. 2020 ilman alv, €]],0)</f>
        <v>40160</v>
      </c>
      <c r="O74" s="43">
        <f>IFERROR(Vertailu[[#This Row],[Muutos, € 1]]/Vertailu[[#This Row],[Rahoitus pl. hark. kor. 2020 ilman alv, €]],0)</f>
        <v>0.19682222287568246</v>
      </c>
      <c r="P74" s="135">
        <f>IFERROR(VLOOKUP(Vertailu[[#This Row],[Y-tunnus]],'Suoritepäätös 2020'!$Q:$AC,COLUMN('Suoritepäätös 2020'!L:L),FALSE),0)</f>
        <v>254042</v>
      </c>
      <c r="Q74" s="138">
        <f>IFERROR(VLOOKUP(Vertailu[[#This Row],[Y-tunnus]],'1.2 Ohjaus-laskentataulu'!A:AY,COLUMN('1.2 Ohjaus-laskentataulu'!AV:AV),FALSE),0)</f>
        <v>244202</v>
      </c>
      <c r="R74" s="18">
        <f>IFERROR(Vertailu[[#This Row],[Rahoitus ml. hark. kor. 
2021 ilman alv, €]]-Vertailu[[#This Row],[Rahoitus ml. hark. kor. 
2020 ilman alv, €]],0)</f>
        <v>-9840</v>
      </c>
      <c r="S74" s="16">
        <f>IFERROR(Vertailu[[#This Row],[Muutos, € 2]]/Vertailu[[#This Row],[Rahoitus ml. hark. kor. 
2020 ilman alv, €]],0)</f>
        <v>-3.8733752686563643E-2</v>
      </c>
      <c r="T74" s="138">
        <f>IFERROR(VLOOKUP(Vertailu[[#This Row],[Y-tunnus]],'Suoritepäätös 2020'!$Q:$AC,COLUMN('Suoritepäätös 2020'!L:L),FALSE)+VLOOKUP(Vertailu[[#This Row],[Y-tunnus]],'Suoritepäätös 2020'!$Q:$AC,COLUMN('Suoritepäätös 2020'!M:M),FALSE),0)</f>
        <v>254042</v>
      </c>
      <c r="U74" s="135">
        <f>IFERROR(VLOOKUP(Vertailu[[#This Row],[Y-tunnus]],'1.2 Ohjaus-laskentataulu'!A:AY,COLUMN('1.2 Ohjaus-laskentataulu'!AX:AX),FALSE),0)</f>
        <v>244202</v>
      </c>
      <c r="V74" s="141">
        <f>IFERROR(Vertailu[[#This Row],[Rahoitus ml. hark. kor. + alv 2021, €]]-Vertailu[[#This Row],[Rahoitus ml. hark. kor. + alv 2020, €]],0)</f>
        <v>-9840</v>
      </c>
      <c r="W74" s="43">
        <f>IFERROR(Vertailu[[#This Row],[Muutos, € 3]]/Vertailu[[#This Row],[Rahoitus ml. hark. kor. + alv 2020, €]],0)</f>
        <v>-3.8733752686563643E-2</v>
      </c>
      <c r="X74" s="18">
        <f>IFERROR(VLOOKUP(Vertailu[[#This Row],[Y-tunnus]],'Suoritepäätös 2020'!$B:$N,COLUMN('Suoritepäätös 2020'!G:G),FALSE),0)</f>
        <v>228826</v>
      </c>
      <c r="Y74" s="18">
        <f>IFERROR(VLOOKUP(Vertailu[[#This Row],[Y-tunnus]],'1.2 Ohjaus-laskentataulu'!A:AY,COLUMN('1.2 Ohjaus-laskentataulu'!AS:AS),FALSE),0)</f>
        <v>174678</v>
      </c>
      <c r="Z74" s="18">
        <f>Vertailu[[#This Row],[Perusrahoitus 2021, €]]-Vertailu[[#This Row],[Perusrahoitus 2020, €]]</f>
        <v>-54148</v>
      </c>
      <c r="AA74" s="43">
        <f>IFERROR(Vertailu[[#This Row],[Perusrahoituksen muutos, €]]/Vertailu[[#This Row],[Perusrahoitus 2020, €]],0)</f>
        <v>-0.23663394893936879</v>
      </c>
      <c r="AB74" s="18">
        <f>IFERROR(VLOOKUP(Vertailu[[#This Row],[Y-tunnus]],'Suoritepäätös 2020'!$B:$N,COLUMN('Suoritepäätös 2020'!M:M),FALSE),0)</f>
        <v>0</v>
      </c>
      <c r="AC74" s="18">
        <f>IFERROR(VLOOKUP(Vertailu[[#This Row],[Y-tunnus]],'1.2 Ohjaus-laskentataulu'!A:AY,COLUMN('1.2 Ohjaus-laskentataulu'!O:O),FALSE),0)</f>
        <v>40362</v>
      </c>
      <c r="AD74" s="18">
        <f>Vertailu[[#This Row],[Suoritusrahoitus 2021, €]]-Vertailu[[#This Row],[Suoritusrahoitus 2020, €]]</f>
        <v>40362</v>
      </c>
      <c r="AE74" s="43">
        <f>IFERROR(Vertailu[[#This Row],[Suoritusrahoituksen muutos, €]]/Vertailu[[#This Row],[Suoritusrahoitus 2020, €]],0)</f>
        <v>0</v>
      </c>
      <c r="AF74" s="18">
        <f>IFERROR(VLOOKUP(Vertailu[[#This Row],[Y-tunnus]],'Suoritepäätös 2020'!$Q:$AC,COLUMN('Suoritepäätös 2020'!K:K),FALSE),0)</f>
        <v>25216</v>
      </c>
      <c r="AG74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29162</v>
      </c>
      <c r="AH74" s="18">
        <f>Vertailu[[#This Row],[Vaikuttavuusrahoitus 2021, €]]-Vertailu[[#This Row],[Vaikuttavuusrahoitus 2020, €]]</f>
        <v>3946</v>
      </c>
      <c r="AI74" s="43">
        <f>IFERROR(Vertailu[[#This Row],[Vaikuttavuusrahoituksen muutos, €]]/Vertailu[[#This Row],[Vaikuttavuusrahoitus 2020, €]],0)</f>
        <v>0.15648794416243655</v>
      </c>
    </row>
    <row r="75" spans="1:35" ht="12.75" customHeight="1" x14ac:dyDescent="0.25">
      <c r="A75" s="22" t="s">
        <v>361</v>
      </c>
      <c r="B75" s="236" t="s">
        <v>76</v>
      </c>
      <c r="C75" s="142" t="s">
        <v>216</v>
      </c>
      <c r="D75" s="170" t="s">
        <v>392</v>
      </c>
      <c r="E75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0.53387147017816583</v>
      </c>
      <c r="F75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0.53387147017816583</v>
      </c>
      <c r="G75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0.23020925639730588</v>
      </c>
      <c r="H75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0.23591927342452829</v>
      </c>
      <c r="I75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0.2150994867638297</v>
      </c>
      <c r="J75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1.549688943193194E-2</v>
      </c>
      <c r="K75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5.3228972287666307E-3</v>
      </c>
      <c r="L75" s="18">
        <f>IFERROR(VLOOKUP(Vertailu[[#This Row],[Y-tunnus]],'Suoritepäätös 2020'!$Q:$AC,COLUMN('Suoritepäätös 2020'!L:L),FALSE)-VLOOKUP(Vertailu[[#This Row],[Y-tunnus]],'Suoritepäätös 2020'!$B:$N,COLUMN('Suoritepäätös 2020'!F:F),FALSE),0)</f>
        <v>329353</v>
      </c>
      <c r="M75" s="18">
        <f>IFERROR(VLOOKUP(Vertailu[[#This Row],[Y-tunnus]],'1.2 Ohjaus-laskentataulu'!A:AY,COLUMN('1.2 Ohjaus-laskentataulu'!Z:Z),FALSE),0)</f>
        <v>330647</v>
      </c>
      <c r="N75" s="18">
        <f>IFERROR(Vertailu[[#This Row],[Rahoitus pl. hark. kor. 2021 ilman alv, €]]-Vertailu[[#This Row],[Rahoitus pl. hark. kor. 2020 ilman alv, €]],0)</f>
        <v>1294</v>
      </c>
      <c r="O75" s="43">
        <f>IFERROR(Vertailu[[#This Row],[Muutos, € 1]]/Vertailu[[#This Row],[Rahoitus pl. hark. kor. 2020 ilman alv, €]],0)</f>
        <v>3.9289151761180254E-3</v>
      </c>
      <c r="P75" s="135">
        <f>IFERROR(VLOOKUP(Vertailu[[#This Row],[Y-tunnus]],'Suoritepäätös 2020'!$Q:$AC,COLUMN('Suoritepäätös 2020'!L:L),FALSE),0)</f>
        <v>329353</v>
      </c>
      <c r="Q75" s="138">
        <f>IFERROR(VLOOKUP(Vertailu[[#This Row],[Y-tunnus]],'1.2 Ohjaus-laskentataulu'!A:AY,COLUMN('1.2 Ohjaus-laskentataulu'!AV:AV),FALSE),0)</f>
        <v>330647</v>
      </c>
      <c r="R75" s="18">
        <f>IFERROR(Vertailu[[#This Row],[Rahoitus ml. hark. kor. 
2021 ilman alv, €]]-Vertailu[[#This Row],[Rahoitus ml. hark. kor. 
2020 ilman alv, €]],0)</f>
        <v>1294</v>
      </c>
      <c r="S75" s="16">
        <f>IFERROR(Vertailu[[#This Row],[Muutos, € 2]]/Vertailu[[#This Row],[Rahoitus ml. hark. kor. 
2020 ilman alv, €]],0)</f>
        <v>3.9289151761180254E-3</v>
      </c>
      <c r="T75" s="138">
        <f>IFERROR(VLOOKUP(Vertailu[[#This Row],[Y-tunnus]],'Suoritepäätös 2020'!$Q:$AC,COLUMN('Suoritepäätös 2020'!L:L),FALSE)+VLOOKUP(Vertailu[[#This Row],[Y-tunnus]],'Suoritepäätös 2020'!$Q:$AC,COLUMN('Suoritepäätös 2020'!M:M),FALSE),0)</f>
        <v>329353</v>
      </c>
      <c r="U75" s="135">
        <f>IFERROR(VLOOKUP(Vertailu[[#This Row],[Y-tunnus]],'1.2 Ohjaus-laskentataulu'!A:AY,COLUMN('1.2 Ohjaus-laskentataulu'!AX:AX),FALSE),0)</f>
        <v>330647</v>
      </c>
      <c r="V75" s="141">
        <f>IFERROR(Vertailu[[#This Row],[Rahoitus ml. hark. kor. + alv 2021, €]]-Vertailu[[#This Row],[Rahoitus ml. hark. kor. + alv 2020, €]],0)</f>
        <v>1294</v>
      </c>
      <c r="W75" s="43">
        <f>IFERROR(Vertailu[[#This Row],[Muutos, € 3]]/Vertailu[[#This Row],[Rahoitus ml. hark. kor. + alv 2020, €]],0)</f>
        <v>3.9289151761180254E-3</v>
      </c>
      <c r="X75" s="18">
        <f>IFERROR(VLOOKUP(Vertailu[[#This Row],[Y-tunnus]],'Suoritepäätös 2020'!$B:$N,COLUMN('Suoritepäätös 2020'!G:G),FALSE),0)</f>
        <v>166432</v>
      </c>
      <c r="Y75" s="18">
        <f>IFERROR(VLOOKUP(Vertailu[[#This Row],[Y-tunnus]],'1.2 Ohjaus-laskentataulu'!A:AY,COLUMN('1.2 Ohjaus-laskentataulu'!AS:AS),FALSE),0)</f>
        <v>176523</v>
      </c>
      <c r="Z75" s="18">
        <f>Vertailu[[#This Row],[Perusrahoitus 2021, €]]-Vertailu[[#This Row],[Perusrahoitus 2020, €]]</f>
        <v>10091</v>
      </c>
      <c r="AA75" s="43">
        <f>IFERROR(Vertailu[[#This Row],[Perusrahoituksen muutos, €]]/Vertailu[[#This Row],[Perusrahoitus 2020, €]],0)</f>
        <v>6.0631368967506247E-2</v>
      </c>
      <c r="AB75" s="18">
        <f>IFERROR(VLOOKUP(Vertailu[[#This Row],[Y-tunnus]],'Suoritepäätös 2020'!$B:$N,COLUMN('Suoritepäätös 2020'!M:M),FALSE),0)</f>
        <v>73831</v>
      </c>
      <c r="AC75" s="18">
        <f>IFERROR(VLOOKUP(Vertailu[[#This Row],[Y-tunnus]],'1.2 Ohjaus-laskentataulu'!A:AY,COLUMN('1.2 Ohjaus-laskentataulu'!O:O),FALSE),0)</f>
        <v>76118</v>
      </c>
      <c r="AD75" s="18">
        <f>Vertailu[[#This Row],[Suoritusrahoitus 2021, €]]-Vertailu[[#This Row],[Suoritusrahoitus 2020, €]]</f>
        <v>2287</v>
      </c>
      <c r="AE75" s="43">
        <f>IFERROR(Vertailu[[#This Row],[Suoritusrahoituksen muutos, €]]/Vertailu[[#This Row],[Suoritusrahoitus 2020, €]],0)</f>
        <v>3.0976148230418117E-2</v>
      </c>
      <c r="AF75" s="18">
        <f>IFERROR(VLOOKUP(Vertailu[[#This Row],[Y-tunnus]],'Suoritepäätös 2020'!$Q:$AC,COLUMN('Suoritepäätös 2020'!K:K),FALSE),0)</f>
        <v>89090</v>
      </c>
      <c r="AG75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78006</v>
      </c>
      <c r="AH75" s="18">
        <f>Vertailu[[#This Row],[Vaikuttavuusrahoitus 2021, €]]-Vertailu[[#This Row],[Vaikuttavuusrahoitus 2020, €]]</f>
        <v>-11084</v>
      </c>
      <c r="AI75" s="43">
        <f>IFERROR(Vertailu[[#This Row],[Vaikuttavuusrahoituksen muutos, €]]/Vertailu[[#This Row],[Vaikuttavuusrahoitus 2020, €]],0)</f>
        <v>-0.12441351442361656</v>
      </c>
    </row>
    <row r="76" spans="1:35" ht="12.75" customHeight="1" x14ac:dyDescent="0.25">
      <c r="A76" s="22" t="s">
        <v>316</v>
      </c>
      <c r="B76" s="236" t="s">
        <v>77</v>
      </c>
      <c r="C76" s="142" t="s">
        <v>230</v>
      </c>
      <c r="D76" s="170" t="s">
        <v>392</v>
      </c>
      <c r="E76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0.56539187339537222</v>
      </c>
      <c r="F76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0.60588721238185483</v>
      </c>
      <c r="G76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0.17518688598942261</v>
      </c>
      <c r="H76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0.21892590162872252</v>
      </c>
      <c r="I76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0.17566473098946311</v>
      </c>
      <c r="J76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9.2612840262085838E-3</v>
      </c>
      <c r="K76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3.3999886613050839E-2</v>
      </c>
      <c r="L76" s="18">
        <f>IFERROR(VLOOKUP(Vertailu[[#This Row],[Y-tunnus]],'Suoritepäätös 2020'!$Q:$AC,COLUMN('Suoritepäätös 2020'!L:L),FALSE)-VLOOKUP(Vertailu[[#This Row],[Y-tunnus]],'Suoritepäätös 2020'!$B:$N,COLUMN('Suoritepäätös 2020'!F:F),FALSE),0)</f>
        <v>258357</v>
      </c>
      <c r="M76" s="18">
        <f>IFERROR(VLOOKUP(Vertailu[[#This Row],[Y-tunnus]],'1.2 Ohjaus-laskentataulu'!A:AY,COLUMN('1.2 Ohjaus-laskentataulu'!Z:Z),FALSE),0)</f>
        <v>236942</v>
      </c>
      <c r="N76" s="18">
        <f>IFERROR(Vertailu[[#This Row],[Rahoitus pl. hark. kor. 2021 ilman alv, €]]-Vertailu[[#This Row],[Rahoitus pl. hark. kor. 2020 ilman alv, €]],0)</f>
        <v>-21415</v>
      </c>
      <c r="O76" s="43">
        <f>IFERROR(Vertailu[[#This Row],[Muutos, € 1]]/Vertailu[[#This Row],[Rahoitus pl. hark. kor. 2020 ilman alv, €]],0)</f>
        <v>-8.2889180475079052E-2</v>
      </c>
      <c r="P76" s="135">
        <f>IFERROR(VLOOKUP(Vertailu[[#This Row],[Y-tunnus]],'Suoritepäätös 2020'!$Q:$AC,COLUMN('Suoritepäätös 2020'!L:L),FALSE),0)</f>
        <v>258357</v>
      </c>
      <c r="Q76" s="138">
        <f>IFERROR(VLOOKUP(Vertailu[[#This Row],[Y-tunnus]],'1.2 Ohjaus-laskentataulu'!A:AY,COLUMN('1.2 Ohjaus-laskentataulu'!AV:AV),FALSE),0)</f>
        <v>246942</v>
      </c>
      <c r="R76" s="18">
        <f>IFERROR(Vertailu[[#This Row],[Rahoitus ml. hark. kor. 
2021 ilman alv, €]]-Vertailu[[#This Row],[Rahoitus ml. hark. kor. 
2020 ilman alv, €]],0)</f>
        <v>-11415</v>
      </c>
      <c r="S76" s="16">
        <f>IFERROR(Vertailu[[#This Row],[Muutos, € 2]]/Vertailu[[#This Row],[Rahoitus ml. hark. kor. 
2020 ilman alv, €]],0)</f>
        <v>-4.4183049036797921E-2</v>
      </c>
      <c r="T76" s="138">
        <f>IFERROR(VLOOKUP(Vertailu[[#This Row],[Y-tunnus]],'Suoritepäätös 2020'!$Q:$AC,COLUMN('Suoritepäätös 2020'!L:L),FALSE)+VLOOKUP(Vertailu[[#This Row],[Y-tunnus]],'Suoritepäätös 2020'!$Q:$AC,COLUMN('Suoritepäätös 2020'!M:M),FALSE),0)</f>
        <v>259653</v>
      </c>
      <c r="U76" s="135">
        <f>IFERROR(VLOOKUP(Vertailu[[#This Row],[Y-tunnus]],'1.2 Ohjaus-laskentataulu'!A:AY,COLUMN('1.2 Ohjaus-laskentataulu'!AX:AX),FALSE),0)</f>
        <v>251629</v>
      </c>
      <c r="V76" s="141">
        <f>IFERROR(Vertailu[[#This Row],[Rahoitus ml. hark. kor. + alv 2021, €]]-Vertailu[[#This Row],[Rahoitus ml. hark. kor. + alv 2020, €]],0)</f>
        <v>-8024</v>
      </c>
      <c r="W76" s="43">
        <f>IFERROR(Vertailu[[#This Row],[Muutos, € 3]]/Vertailu[[#This Row],[Rahoitus ml. hark. kor. + alv 2020, €]],0)</f>
        <v>-3.0902781789542196E-2</v>
      </c>
      <c r="X76" s="18">
        <f>IFERROR(VLOOKUP(Vertailu[[#This Row],[Y-tunnus]],'Suoritepäätös 2020'!$B:$N,COLUMN('Suoritepäätös 2020'!G:G),FALSE),0)</f>
        <v>121578</v>
      </c>
      <c r="Y76" s="18">
        <f>IFERROR(VLOOKUP(Vertailu[[#This Row],[Y-tunnus]],'1.2 Ohjaus-laskentataulu'!A:AY,COLUMN('1.2 Ohjaus-laskentataulu'!AS:AS),FALSE),0)</f>
        <v>149619</v>
      </c>
      <c r="Z76" s="18">
        <f>Vertailu[[#This Row],[Perusrahoitus 2021, €]]-Vertailu[[#This Row],[Perusrahoitus 2020, €]]</f>
        <v>28041</v>
      </c>
      <c r="AA76" s="43">
        <f>IFERROR(Vertailu[[#This Row],[Perusrahoituksen muutos, €]]/Vertailu[[#This Row],[Perusrahoitus 2020, €]],0)</f>
        <v>0.23064205695109313</v>
      </c>
      <c r="AB76" s="18">
        <f>IFERROR(VLOOKUP(Vertailu[[#This Row],[Y-tunnus]],'Suoritepäätös 2020'!$B:$N,COLUMN('Suoritepäätös 2020'!M:M),FALSE),0)</f>
        <v>55254</v>
      </c>
      <c r="AC76" s="18">
        <f>IFERROR(VLOOKUP(Vertailu[[#This Row],[Y-tunnus]],'1.2 Ohjaus-laskentataulu'!A:AY,COLUMN('1.2 Ohjaus-laskentataulu'!O:O),FALSE),0)</f>
        <v>43261</v>
      </c>
      <c r="AD76" s="18">
        <f>Vertailu[[#This Row],[Suoritusrahoitus 2021, €]]-Vertailu[[#This Row],[Suoritusrahoitus 2020, €]]</f>
        <v>-11993</v>
      </c>
      <c r="AE76" s="43">
        <f>IFERROR(Vertailu[[#This Row],[Suoritusrahoituksen muutos, €]]/Vertailu[[#This Row],[Suoritusrahoitus 2020, €]],0)</f>
        <v>-0.21705215911970174</v>
      </c>
      <c r="AF76" s="18">
        <f>IFERROR(VLOOKUP(Vertailu[[#This Row],[Y-tunnus]],'Suoritepäätös 2020'!$Q:$AC,COLUMN('Suoritepäätös 2020'!K:K),FALSE),0)</f>
        <v>81525</v>
      </c>
      <c r="AG76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54062</v>
      </c>
      <c r="AH76" s="18">
        <f>Vertailu[[#This Row],[Vaikuttavuusrahoitus 2021, €]]-Vertailu[[#This Row],[Vaikuttavuusrahoitus 2020, €]]</f>
        <v>-27463</v>
      </c>
      <c r="AI76" s="43">
        <f>IFERROR(Vertailu[[#This Row],[Vaikuttavuusrahoituksen muutos, €]]/Vertailu[[#This Row],[Vaikuttavuusrahoitus 2020, €]],0)</f>
        <v>-0.33686599202698558</v>
      </c>
    </row>
    <row r="77" spans="1:35" ht="12.75" customHeight="1" x14ac:dyDescent="0.25">
      <c r="A77" s="22" t="s">
        <v>315</v>
      </c>
      <c r="B77" s="236" t="s">
        <v>78</v>
      </c>
      <c r="C77" s="142" t="s">
        <v>230</v>
      </c>
      <c r="D77" s="170" t="s">
        <v>392</v>
      </c>
      <c r="E77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0.70490826295575637</v>
      </c>
      <c r="F77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0.70490826295575637</v>
      </c>
      <c r="G77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0.21727909590706423</v>
      </c>
      <c r="H77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7.7812641137179395E-2</v>
      </c>
      <c r="I77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6.2022255953654369E-2</v>
      </c>
      <c r="J77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6.9817272983499898E-3</v>
      </c>
      <c r="K77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8.808657885175035E-3</v>
      </c>
      <c r="L77" s="18">
        <f>IFERROR(VLOOKUP(Vertailu[[#This Row],[Y-tunnus]],'Suoritepäätös 2020'!$Q:$AC,COLUMN('Suoritepäätös 2020'!L:L),FALSE)-VLOOKUP(Vertailu[[#This Row],[Y-tunnus]],'Suoritepäätös 2020'!$B:$N,COLUMN('Suoritepäätös 2020'!F:F),FALSE),0)</f>
        <v>590744</v>
      </c>
      <c r="M77" s="18">
        <f>IFERROR(VLOOKUP(Vertailu[[#This Row],[Y-tunnus]],'1.2 Ohjaus-laskentataulu'!A:AY,COLUMN('1.2 Ohjaus-laskentataulu'!Z:Z),FALSE),0)</f>
        <v>588966</v>
      </c>
      <c r="N77" s="18">
        <f>IFERROR(Vertailu[[#This Row],[Rahoitus pl. hark. kor. 2021 ilman alv, €]]-Vertailu[[#This Row],[Rahoitus pl. hark. kor. 2020 ilman alv, €]],0)</f>
        <v>-1778</v>
      </c>
      <c r="O77" s="43">
        <f>IFERROR(Vertailu[[#This Row],[Muutos, € 1]]/Vertailu[[#This Row],[Rahoitus pl. hark. kor. 2020 ilman alv, €]],0)</f>
        <v>-3.0097639586690681E-3</v>
      </c>
      <c r="P77" s="135">
        <f>IFERROR(VLOOKUP(Vertailu[[#This Row],[Y-tunnus]],'Suoritepäätös 2020'!$Q:$AC,COLUMN('Suoritepäätös 2020'!L:L),FALSE),0)</f>
        <v>590744</v>
      </c>
      <c r="Q77" s="138">
        <f>IFERROR(VLOOKUP(Vertailu[[#This Row],[Y-tunnus]],'1.2 Ohjaus-laskentataulu'!A:AY,COLUMN('1.2 Ohjaus-laskentataulu'!AV:AV),FALSE),0)</f>
        <v>588966</v>
      </c>
      <c r="R77" s="18">
        <f>IFERROR(Vertailu[[#This Row],[Rahoitus ml. hark. kor. 
2021 ilman alv, €]]-Vertailu[[#This Row],[Rahoitus ml. hark. kor. 
2020 ilman alv, €]],0)</f>
        <v>-1778</v>
      </c>
      <c r="S77" s="16">
        <f>IFERROR(Vertailu[[#This Row],[Muutos, € 2]]/Vertailu[[#This Row],[Rahoitus ml. hark. kor. 
2020 ilman alv, €]],0)</f>
        <v>-3.0097639586690681E-3</v>
      </c>
      <c r="T77" s="138">
        <f>IFERROR(VLOOKUP(Vertailu[[#This Row],[Y-tunnus]],'Suoritepäätös 2020'!$Q:$AC,COLUMN('Suoritepäätös 2020'!L:L),FALSE)+VLOOKUP(Vertailu[[#This Row],[Y-tunnus]],'Suoritepäätös 2020'!$Q:$AC,COLUMN('Suoritepäätös 2020'!M:M),FALSE),0)</f>
        <v>601993</v>
      </c>
      <c r="U77" s="135">
        <f>IFERROR(VLOOKUP(Vertailu[[#This Row],[Y-tunnus]],'1.2 Ohjaus-laskentataulu'!A:AY,COLUMN('1.2 Ohjaus-laskentataulu'!AX:AX),FALSE),0)</f>
        <v>598967</v>
      </c>
      <c r="V77" s="141">
        <f>IFERROR(Vertailu[[#This Row],[Rahoitus ml. hark. kor. + alv 2021, €]]-Vertailu[[#This Row],[Rahoitus ml. hark. kor. + alv 2020, €]],0)</f>
        <v>-3026</v>
      </c>
      <c r="W77" s="43">
        <f>IFERROR(Vertailu[[#This Row],[Muutos, € 3]]/Vertailu[[#This Row],[Rahoitus ml. hark. kor. + alv 2020, €]],0)</f>
        <v>-5.0266365223515892E-3</v>
      </c>
      <c r="X77" s="18">
        <f>IFERROR(VLOOKUP(Vertailu[[#This Row],[Y-tunnus]],'Suoritepäätös 2020'!$B:$N,COLUMN('Suoritepäätös 2020'!G:G),FALSE),0)</f>
        <v>369455</v>
      </c>
      <c r="Y77" s="18">
        <f>IFERROR(VLOOKUP(Vertailu[[#This Row],[Y-tunnus]],'1.2 Ohjaus-laskentataulu'!A:AY,COLUMN('1.2 Ohjaus-laskentataulu'!AS:AS),FALSE),0)</f>
        <v>415167</v>
      </c>
      <c r="Z77" s="18">
        <f>Vertailu[[#This Row],[Perusrahoitus 2021, €]]-Vertailu[[#This Row],[Perusrahoitus 2020, €]]</f>
        <v>45712</v>
      </c>
      <c r="AA77" s="43">
        <f>IFERROR(Vertailu[[#This Row],[Perusrahoituksen muutos, €]]/Vertailu[[#This Row],[Perusrahoitus 2020, €]],0)</f>
        <v>0.12372819423204449</v>
      </c>
      <c r="AB77" s="18">
        <f>IFERROR(VLOOKUP(Vertailu[[#This Row],[Y-tunnus]],'Suoritepäätös 2020'!$B:$N,COLUMN('Suoritepäätös 2020'!M:M),FALSE),0)</f>
        <v>155695</v>
      </c>
      <c r="AC77" s="18">
        <f>IFERROR(VLOOKUP(Vertailu[[#This Row],[Y-tunnus]],'1.2 Ohjaus-laskentataulu'!A:AY,COLUMN('1.2 Ohjaus-laskentataulu'!O:O),FALSE),0)</f>
        <v>127970</v>
      </c>
      <c r="AD77" s="18">
        <f>Vertailu[[#This Row],[Suoritusrahoitus 2021, €]]-Vertailu[[#This Row],[Suoritusrahoitus 2020, €]]</f>
        <v>-27725</v>
      </c>
      <c r="AE77" s="43">
        <f>IFERROR(Vertailu[[#This Row],[Suoritusrahoituksen muutos, €]]/Vertailu[[#This Row],[Suoritusrahoitus 2020, €]],0)</f>
        <v>-0.17807251356819423</v>
      </c>
      <c r="AF77" s="18">
        <f>IFERROR(VLOOKUP(Vertailu[[#This Row],[Y-tunnus]],'Suoritepäätös 2020'!$Q:$AC,COLUMN('Suoritepäätös 2020'!K:K),FALSE),0)</f>
        <v>65594</v>
      </c>
      <c r="AG77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45829</v>
      </c>
      <c r="AH77" s="18">
        <f>Vertailu[[#This Row],[Vaikuttavuusrahoitus 2021, €]]-Vertailu[[#This Row],[Vaikuttavuusrahoitus 2020, €]]</f>
        <v>-19765</v>
      </c>
      <c r="AI77" s="43">
        <f>IFERROR(Vertailu[[#This Row],[Vaikuttavuusrahoituksen muutos, €]]/Vertailu[[#This Row],[Vaikuttavuusrahoitus 2020, €]],0)</f>
        <v>-0.30132329176449063</v>
      </c>
    </row>
    <row r="78" spans="1:35" ht="12.75" customHeight="1" x14ac:dyDescent="0.25">
      <c r="A78" s="22" t="s">
        <v>313</v>
      </c>
      <c r="B78" s="236" t="s">
        <v>79</v>
      </c>
      <c r="C78" s="142" t="s">
        <v>312</v>
      </c>
      <c r="D78" s="170" t="s">
        <v>391</v>
      </c>
      <c r="E78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0.65521387573105949</v>
      </c>
      <c r="F78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0.67230955631010336</v>
      </c>
      <c r="G78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0.21618312191675018</v>
      </c>
      <c r="H78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0.11150732177314646</v>
      </c>
      <c r="I78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8.1464775446043844E-2</v>
      </c>
      <c r="J78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8.6940741110903622E-3</v>
      </c>
      <c r="K78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2.1348472216012254E-2</v>
      </c>
      <c r="L78" s="18">
        <f>IFERROR(VLOOKUP(Vertailu[[#This Row],[Y-tunnus]],'Suoritepäätös 2020'!$Q:$AC,COLUMN('Suoritepäätös 2020'!L:L),FALSE)-VLOOKUP(Vertailu[[#This Row],[Y-tunnus]],'Suoritepäätös 2020'!$B:$N,COLUMN('Suoritepäätös 2020'!F:F),FALSE),0)</f>
        <v>10586023</v>
      </c>
      <c r="M78" s="18">
        <f>IFERROR(VLOOKUP(Vertailu[[#This Row],[Y-tunnus]],'1.2 Ohjaus-laskentataulu'!A:AY,COLUMN('1.2 Ohjaus-laskentataulu'!Z:Z),FALSE),0)</f>
        <v>11211390</v>
      </c>
      <c r="N78" s="18">
        <f>IFERROR(Vertailu[[#This Row],[Rahoitus pl. hark. kor. 2021 ilman alv, €]]-Vertailu[[#This Row],[Rahoitus pl. hark. kor. 2020 ilman alv, €]],0)</f>
        <v>625367</v>
      </c>
      <c r="O78" s="43">
        <f>IFERROR(Vertailu[[#This Row],[Muutos, € 1]]/Vertailu[[#This Row],[Rahoitus pl. hark. kor. 2020 ilman alv, €]],0)</f>
        <v>5.907478190818214E-2</v>
      </c>
      <c r="P78" s="135">
        <f>IFERROR(VLOOKUP(Vertailu[[#This Row],[Y-tunnus]],'Suoritepäätös 2020'!$Q:$AC,COLUMN('Suoritepäätös 2020'!L:L),FALSE),0)</f>
        <v>10756023</v>
      </c>
      <c r="Q78" s="138">
        <f>IFERROR(VLOOKUP(Vertailu[[#This Row],[Y-tunnus]],'1.2 Ohjaus-laskentataulu'!A:AY,COLUMN('1.2 Ohjaus-laskentataulu'!AV:AV),FALSE),0)</f>
        <v>11406390</v>
      </c>
      <c r="R78" s="18">
        <f>IFERROR(Vertailu[[#This Row],[Rahoitus ml. hark. kor. 
2021 ilman alv, €]]-Vertailu[[#This Row],[Rahoitus ml. hark. kor. 
2020 ilman alv, €]],0)</f>
        <v>650367</v>
      </c>
      <c r="S78" s="16">
        <f>IFERROR(Vertailu[[#This Row],[Muutos, € 2]]/Vertailu[[#This Row],[Rahoitus ml. hark. kor. 
2020 ilman alv, €]],0)</f>
        <v>6.0465378328030721E-2</v>
      </c>
      <c r="T78" s="138">
        <f>IFERROR(VLOOKUP(Vertailu[[#This Row],[Y-tunnus]],'Suoritepäätös 2020'!$Q:$AC,COLUMN('Suoritepäätös 2020'!L:L),FALSE)+VLOOKUP(Vertailu[[#This Row],[Y-tunnus]],'Suoritepäätös 2020'!$Q:$AC,COLUMN('Suoritepäätös 2020'!M:M),FALSE),0)</f>
        <v>10756023</v>
      </c>
      <c r="U78" s="135">
        <f>IFERROR(VLOOKUP(Vertailu[[#This Row],[Y-tunnus]],'1.2 Ohjaus-laskentataulu'!A:AY,COLUMN('1.2 Ohjaus-laskentataulu'!AX:AX),FALSE),0)</f>
        <v>11406390</v>
      </c>
      <c r="V78" s="141">
        <f>IFERROR(Vertailu[[#This Row],[Rahoitus ml. hark. kor. + alv 2021, €]]-Vertailu[[#This Row],[Rahoitus ml. hark. kor. + alv 2020, €]],0)</f>
        <v>650367</v>
      </c>
      <c r="W78" s="43">
        <f>IFERROR(Vertailu[[#This Row],[Muutos, € 3]]/Vertailu[[#This Row],[Rahoitus ml. hark. kor. + alv 2020, €]],0)</f>
        <v>6.0465378328030721E-2</v>
      </c>
      <c r="X78" s="18">
        <f>IFERROR(VLOOKUP(Vertailu[[#This Row],[Y-tunnus]],'Suoritepäätös 2020'!$B:$N,COLUMN('Suoritepäätös 2020'!G:G),FALSE),0)</f>
        <v>7078700</v>
      </c>
      <c r="Y78" s="18">
        <f>IFERROR(VLOOKUP(Vertailu[[#This Row],[Y-tunnus]],'1.2 Ohjaus-laskentataulu'!A:AY,COLUMN('1.2 Ohjaus-laskentataulu'!AS:AS),FALSE),0)</f>
        <v>7668625</v>
      </c>
      <c r="Z78" s="18">
        <f>Vertailu[[#This Row],[Perusrahoitus 2021, €]]-Vertailu[[#This Row],[Perusrahoitus 2020, €]]</f>
        <v>589925</v>
      </c>
      <c r="AA78" s="43">
        <f>IFERROR(Vertailu[[#This Row],[Perusrahoituksen muutos, €]]/Vertailu[[#This Row],[Perusrahoitus 2020, €]],0)</f>
        <v>8.333804229590179E-2</v>
      </c>
      <c r="AB78" s="18">
        <f>IFERROR(VLOOKUP(Vertailu[[#This Row],[Y-tunnus]],'Suoritepäätös 2020'!$B:$N,COLUMN('Suoritepäätös 2020'!M:M),FALSE),0)</f>
        <v>2192130</v>
      </c>
      <c r="AC78" s="18">
        <f>IFERROR(VLOOKUP(Vertailu[[#This Row],[Y-tunnus]],'1.2 Ohjaus-laskentataulu'!A:AY,COLUMN('1.2 Ohjaus-laskentataulu'!O:O),FALSE),0)</f>
        <v>2465869</v>
      </c>
      <c r="AD78" s="18">
        <f>Vertailu[[#This Row],[Suoritusrahoitus 2021, €]]-Vertailu[[#This Row],[Suoritusrahoitus 2020, €]]</f>
        <v>273739</v>
      </c>
      <c r="AE78" s="43">
        <f>IFERROR(Vertailu[[#This Row],[Suoritusrahoituksen muutos, €]]/Vertailu[[#This Row],[Suoritusrahoitus 2020, €]],0)</f>
        <v>0.12487352483657448</v>
      </c>
      <c r="AF78" s="18">
        <f>IFERROR(VLOOKUP(Vertailu[[#This Row],[Y-tunnus]],'Suoritepäätös 2020'!$Q:$AC,COLUMN('Suoritepäätös 2020'!K:K),FALSE),0)</f>
        <v>1485193</v>
      </c>
      <c r="AG78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1271896</v>
      </c>
      <c r="AH78" s="18">
        <f>Vertailu[[#This Row],[Vaikuttavuusrahoitus 2021, €]]-Vertailu[[#This Row],[Vaikuttavuusrahoitus 2020, €]]</f>
        <v>-213297</v>
      </c>
      <c r="AI78" s="43">
        <f>IFERROR(Vertailu[[#This Row],[Vaikuttavuusrahoituksen muutos, €]]/Vertailu[[#This Row],[Vaikuttavuusrahoitus 2020, €]],0)</f>
        <v>-0.14361567823171803</v>
      </c>
    </row>
    <row r="79" spans="1:35" ht="12.75" customHeight="1" x14ac:dyDescent="0.25">
      <c r="A79" s="22" t="s">
        <v>311</v>
      </c>
      <c r="B79" s="236" t="s">
        <v>80</v>
      </c>
      <c r="C79" s="142" t="s">
        <v>232</v>
      </c>
      <c r="D79" s="170" t="s">
        <v>391</v>
      </c>
      <c r="E79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0.68119179265851049</v>
      </c>
      <c r="F79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0.68119179265851049</v>
      </c>
      <c r="G79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0.21695756781349476</v>
      </c>
      <c r="H79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0.10185063952799474</v>
      </c>
      <c r="I79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7.2830127028660221E-2</v>
      </c>
      <c r="J79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8.6279061782894486E-3</v>
      </c>
      <c r="K79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2.0392606321045073E-2</v>
      </c>
      <c r="L79" s="18">
        <f>IFERROR(VLOOKUP(Vertailu[[#This Row],[Y-tunnus]],'Suoritepäätös 2020'!$Q:$AC,COLUMN('Suoritepäätös 2020'!L:L),FALSE)-VLOOKUP(Vertailu[[#This Row],[Y-tunnus]],'Suoritepäätös 2020'!$B:$N,COLUMN('Suoritepäätös 2020'!F:F),FALSE),0)</f>
        <v>16748758</v>
      </c>
      <c r="M79" s="18">
        <f>IFERROR(VLOOKUP(Vertailu[[#This Row],[Y-tunnus]],'1.2 Ohjaus-laskentataulu'!A:AY,COLUMN('1.2 Ohjaus-laskentataulu'!Z:Z),FALSE),0)</f>
        <v>16397953</v>
      </c>
      <c r="N79" s="18">
        <f>IFERROR(Vertailu[[#This Row],[Rahoitus pl. hark. kor. 2021 ilman alv, €]]-Vertailu[[#This Row],[Rahoitus pl. hark. kor. 2020 ilman alv, €]],0)</f>
        <v>-350805</v>
      </c>
      <c r="O79" s="43">
        <f>IFERROR(Vertailu[[#This Row],[Muutos, € 1]]/Vertailu[[#This Row],[Rahoitus pl. hark. kor. 2020 ilman alv, €]],0)</f>
        <v>-2.0945135155693337E-2</v>
      </c>
      <c r="P79" s="135">
        <f>IFERROR(VLOOKUP(Vertailu[[#This Row],[Y-tunnus]],'Suoritepäätös 2020'!$Q:$AC,COLUMN('Suoritepäätös 2020'!L:L),FALSE),0)</f>
        <v>16808758</v>
      </c>
      <c r="Q79" s="138">
        <f>IFERROR(VLOOKUP(Vertailu[[#This Row],[Y-tunnus]],'1.2 Ohjaus-laskentataulu'!A:AY,COLUMN('1.2 Ohjaus-laskentataulu'!AV:AV),FALSE),0)</f>
        <v>16397953</v>
      </c>
      <c r="R79" s="18">
        <f>IFERROR(Vertailu[[#This Row],[Rahoitus ml. hark. kor. 
2021 ilman alv, €]]-Vertailu[[#This Row],[Rahoitus ml. hark. kor. 
2020 ilman alv, €]],0)</f>
        <v>-410805</v>
      </c>
      <c r="S79" s="16">
        <f>IFERROR(Vertailu[[#This Row],[Muutos, € 2]]/Vertailu[[#This Row],[Rahoitus ml. hark. kor. 
2020 ilman alv, €]],0)</f>
        <v>-2.4439937799092593E-2</v>
      </c>
      <c r="T79" s="138">
        <f>IFERROR(VLOOKUP(Vertailu[[#This Row],[Y-tunnus]],'Suoritepäätös 2020'!$Q:$AC,COLUMN('Suoritepäätös 2020'!L:L),FALSE)+VLOOKUP(Vertailu[[#This Row],[Y-tunnus]],'Suoritepäätös 2020'!$Q:$AC,COLUMN('Suoritepäätös 2020'!M:M),FALSE),0)</f>
        <v>16808758</v>
      </c>
      <c r="U79" s="135">
        <f>IFERROR(VLOOKUP(Vertailu[[#This Row],[Y-tunnus]],'1.2 Ohjaus-laskentataulu'!A:AY,COLUMN('1.2 Ohjaus-laskentataulu'!AX:AX),FALSE),0)</f>
        <v>16397953</v>
      </c>
      <c r="V79" s="141">
        <f>IFERROR(Vertailu[[#This Row],[Rahoitus ml. hark. kor. + alv 2021, €]]-Vertailu[[#This Row],[Rahoitus ml. hark. kor. + alv 2020, €]],0)</f>
        <v>-410805</v>
      </c>
      <c r="W79" s="43">
        <f>IFERROR(Vertailu[[#This Row],[Muutos, € 3]]/Vertailu[[#This Row],[Rahoitus ml. hark. kor. + alv 2020, €]],0)</f>
        <v>-2.4439937799092593E-2</v>
      </c>
      <c r="X79" s="18">
        <f>IFERROR(VLOOKUP(Vertailu[[#This Row],[Y-tunnus]],'Suoritepäätös 2020'!$B:$N,COLUMN('Suoritepäätös 2020'!G:G),FALSE),0)</f>
        <v>11015005</v>
      </c>
      <c r="Y79" s="18">
        <f>IFERROR(VLOOKUP(Vertailu[[#This Row],[Y-tunnus]],'1.2 Ohjaus-laskentataulu'!A:AY,COLUMN('1.2 Ohjaus-laskentataulu'!AS:AS),FALSE),0)</f>
        <v>11170151</v>
      </c>
      <c r="Z79" s="18">
        <f>Vertailu[[#This Row],[Perusrahoitus 2021, €]]-Vertailu[[#This Row],[Perusrahoitus 2020, €]]</f>
        <v>155146</v>
      </c>
      <c r="AA79" s="43">
        <f>IFERROR(Vertailu[[#This Row],[Perusrahoituksen muutos, €]]/Vertailu[[#This Row],[Perusrahoitus 2020, €]],0)</f>
        <v>1.4084968640504476E-2</v>
      </c>
      <c r="AB79" s="18">
        <f>IFERROR(VLOOKUP(Vertailu[[#This Row],[Y-tunnus]],'Suoritepäätös 2020'!$B:$N,COLUMN('Suoritepäätös 2020'!M:M),FALSE),0)</f>
        <v>3797469</v>
      </c>
      <c r="AC79" s="18">
        <f>IFERROR(VLOOKUP(Vertailu[[#This Row],[Y-tunnus]],'1.2 Ohjaus-laskentataulu'!A:AY,COLUMN('1.2 Ohjaus-laskentataulu'!O:O),FALSE),0)</f>
        <v>3557660</v>
      </c>
      <c r="AD79" s="18">
        <f>Vertailu[[#This Row],[Suoritusrahoitus 2021, €]]-Vertailu[[#This Row],[Suoritusrahoitus 2020, €]]</f>
        <v>-239809</v>
      </c>
      <c r="AE79" s="43">
        <f>IFERROR(Vertailu[[#This Row],[Suoritusrahoituksen muutos, €]]/Vertailu[[#This Row],[Suoritusrahoitus 2020, €]],0)</f>
        <v>-6.3149692597885596E-2</v>
      </c>
      <c r="AF79" s="18">
        <f>IFERROR(VLOOKUP(Vertailu[[#This Row],[Y-tunnus]],'Suoritepäätös 2020'!$Q:$AC,COLUMN('Suoritepäätös 2020'!K:K),FALSE),0)</f>
        <v>1996284</v>
      </c>
      <c r="AG79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1670142</v>
      </c>
      <c r="AH79" s="18">
        <f>Vertailu[[#This Row],[Vaikuttavuusrahoitus 2021, €]]-Vertailu[[#This Row],[Vaikuttavuusrahoitus 2020, €]]</f>
        <v>-326142</v>
      </c>
      <c r="AI79" s="43">
        <f>IFERROR(Vertailu[[#This Row],[Vaikuttavuusrahoituksen muutos, €]]/Vertailu[[#This Row],[Vaikuttavuusrahoitus 2020, €]],0)</f>
        <v>-0.16337454991373973</v>
      </c>
    </row>
    <row r="80" spans="1:35" ht="12.75" customHeight="1" x14ac:dyDescent="0.25">
      <c r="A80" s="22" t="s">
        <v>310</v>
      </c>
      <c r="B80" s="236" t="s">
        <v>81</v>
      </c>
      <c r="C80" s="142" t="s">
        <v>216</v>
      </c>
      <c r="D80" s="170" t="s">
        <v>391</v>
      </c>
      <c r="E80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0.69682883053894129</v>
      </c>
      <c r="F80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0.69827344607401887</v>
      </c>
      <c r="G80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0.20369367967701862</v>
      </c>
      <c r="H80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9.803287424896244E-2</v>
      </c>
      <c r="I80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7.0618766393677673E-2</v>
      </c>
      <c r="J80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5.4138050638686194E-3</v>
      </c>
      <c r="K80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2.2000302791416151E-2</v>
      </c>
      <c r="L80" s="18">
        <f>IFERROR(VLOOKUP(Vertailu[[#This Row],[Y-tunnus]],'Suoritepäätös 2020'!$Q:$AC,COLUMN('Suoritepäätös 2020'!L:L),FALSE)-VLOOKUP(Vertailu[[#This Row],[Y-tunnus]],'Suoritepäätös 2020'!$B:$N,COLUMN('Suoritepäätös 2020'!F:F),FALSE),0)</f>
        <v>25528053</v>
      </c>
      <c r="M80" s="18">
        <f>IFERROR(VLOOKUP(Vertailu[[#This Row],[Y-tunnus]],'1.2 Ohjaus-laskentataulu'!A:AY,COLUMN('1.2 Ohjaus-laskentataulu'!Z:Z),FALSE),0)</f>
        <v>27649028</v>
      </c>
      <c r="N80" s="18">
        <f>IFERROR(Vertailu[[#This Row],[Rahoitus pl. hark. kor. 2021 ilman alv, €]]-Vertailu[[#This Row],[Rahoitus pl. hark. kor. 2020 ilman alv, €]],0)</f>
        <v>2120975</v>
      </c>
      <c r="O80" s="43">
        <f>IFERROR(Vertailu[[#This Row],[Muutos, € 1]]/Vertailu[[#This Row],[Rahoitus pl. hark. kor. 2020 ilman alv, €]],0)</f>
        <v>8.3084087924762615E-2</v>
      </c>
      <c r="P80" s="135">
        <f>IFERROR(VLOOKUP(Vertailu[[#This Row],[Y-tunnus]],'Suoritepäätös 2020'!$Q:$AC,COLUMN('Suoritepäätös 2020'!L:L),FALSE),0)</f>
        <v>25528053</v>
      </c>
      <c r="Q80" s="138">
        <f>IFERROR(VLOOKUP(Vertailu[[#This Row],[Y-tunnus]],'1.2 Ohjaus-laskentataulu'!A:AY,COLUMN('1.2 Ohjaus-laskentataulu'!AV:AV),FALSE),0)</f>
        <v>27689028</v>
      </c>
      <c r="R80" s="18">
        <f>IFERROR(Vertailu[[#This Row],[Rahoitus ml. hark. kor. 
2021 ilman alv, €]]-Vertailu[[#This Row],[Rahoitus ml. hark. kor. 
2020 ilman alv, €]],0)</f>
        <v>2160975</v>
      </c>
      <c r="S80" s="16">
        <f>IFERROR(Vertailu[[#This Row],[Muutos, € 2]]/Vertailu[[#This Row],[Rahoitus ml. hark. kor. 
2020 ilman alv, €]],0)</f>
        <v>8.4650991597361544E-2</v>
      </c>
      <c r="T80" s="138">
        <f>IFERROR(VLOOKUP(Vertailu[[#This Row],[Y-tunnus]],'Suoritepäätös 2020'!$Q:$AC,COLUMN('Suoritepäätös 2020'!L:L),FALSE)+VLOOKUP(Vertailu[[#This Row],[Y-tunnus]],'Suoritepäätös 2020'!$Q:$AC,COLUMN('Suoritepäätös 2020'!M:M),FALSE),0)</f>
        <v>25528053</v>
      </c>
      <c r="U80" s="135">
        <f>IFERROR(VLOOKUP(Vertailu[[#This Row],[Y-tunnus]],'1.2 Ohjaus-laskentataulu'!A:AY,COLUMN('1.2 Ohjaus-laskentataulu'!AX:AX),FALSE),0)</f>
        <v>27689028</v>
      </c>
      <c r="V80" s="141">
        <f>IFERROR(Vertailu[[#This Row],[Rahoitus ml. hark. kor. + alv 2021, €]]-Vertailu[[#This Row],[Rahoitus ml. hark. kor. + alv 2020, €]],0)</f>
        <v>2160975</v>
      </c>
      <c r="W80" s="43">
        <f>IFERROR(Vertailu[[#This Row],[Muutos, € 3]]/Vertailu[[#This Row],[Rahoitus ml. hark. kor. + alv 2020, €]],0)</f>
        <v>8.4650991597361544E-2</v>
      </c>
      <c r="X80" s="18">
        <f>IFERROR(VLOOKUP(Vertailu[[#This Row],[Y-tunnus]],'Suoritepäätös 2020'!$B:$N,COLUMN('Suoritepäätös 2020'!G:G),FALSE),0)</f>
        <v>18072039</v>
      </c>
      <c r="Y80" s="18">
        <f>IFERROR(VLOOKUP(Vertailu[[#This Row],[Y-tunnus]],'1.2 Ohjaus-laskentataulu'!A:AY,COLUMN('1.2 Ohjaus-laskentataulu'!AS:AS),FALSE),0)</f>
        <v>19334513</v>
      </c>
      <c r="Z80" s="18">
        <f>Vertailu[[#This Row],[Perusrahoitus 2021, €]]-Vertailu[[#This Row],[Perusrahoitus 2020, €]]</f>
        <v>1262474</v>
      </c>
      <c r="AA80" s="43">
        <f>IFERROR(Vertailu[[#This Row],[Perusrahoituksen muutos, €]]/Vertailu[[#This Row],[Perusrahoitus 2020, €]],0)</f>
        <v>6.9857861639187474E-2</v>
      </c>
      <c r="AB80" s="18">
        <f>IFERROR(VLOOKUP(Vertailu[[#This Row],[Y-tunnus]],'Suoritepäätös 2020'!$B:$N,COLUMN('Suoritepäätös 2020'!M:M),FALSE),0)</f>
        <v>5281273</v>
      </c>
      <c r="AC80" s="18">
        <f>IFERROR(VLOOKUP(Vertailu[[#This Row],[Y-tunnus]],'1.2 Ohjaus-laskentataulu'!A:AY,COLUMN('1.2 Ohjaus-laskentataulu'!O:O),FALSE),0)</f>
        <v>5640080</v>
      </c>
      <c r="AD80" s="18">
        <f>Vertailu[[#This Row],[Suoritusrahoitus 2021, €]]-Vertailu[[#This Row],[Suoritusrahoitus 2020, €]]</f>
        <v>358807</v>
      </c>
      <c r="AE80" s="43">
        <f>IFERROR(Vertailu[[#This Row],[Suoritusrahoituksen muutos, €]]/Vertailu[[#This Row],[Suoritusrahoitus 2020, €]],0)</f>
        <v>6.7939491103754718E-2</v>
      </c>
      <c r="AF80" s="18">
        <f>IFERROR(VLOOKUP(Vertailu[[#This Row],[Y-tunnus]],'Suoritepäätös 2020'!$Q:$AC,COLUMN('Suoritepäätös 2020'!K:K),FALSE),0)</f>
        <v>2174741</v>
      </c>
      <c r="AG80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2714435</v>
      </c>
      <c r="AH80" s="18">
        <f>Vertailu[[#This Row],[Vaikuttavuusrahoitus 2021, €]]-Vertailu[[#This Row],[Vaikuttavuusrahoitus 2020, €]]</f>
        <v>539694</v>
      </c>
      <c r="AI80" s="43">
        <f>IFERROR(Vertailu[[#This Row],[Vaikuttavuusrahoituksen muutos, €]]/Vertailu[[#This Row],[Vaikuttavuusrahoitus 2020, €]],0)</f>
        <v>0.24816472398322376</v>
      </c>
    </row>
    <row r="81" spans="1:35" ht="12.75" customHeight="1" x14ac:dyDescent="0.25">
      <c r="A81" s="22" t="s">
        <v>309</v>
      </c>
      <c r="B81" s="236" t="s">
        <v>82</v>
      </c>
      <c r="C81" s="142" t="s">
        <v>265</v>
      </c>
      <c r="D81" s="170" t="s">
        <v>392</v>
      </c>
      <c r="E81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0.68748810633794311</v>
      </c>
      <c r="F81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0.69094767494000553</v>
      </c>
      <c r="G81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0.19599737287056299</v>
      </c>
      <c r="H81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0.11305495218943151</v>
      </c>
      <c r="I81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8.486542746853723E-2</v>
      </c>
      <c r="J81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7.3125459536729394E-3</v>
      </c>
      <c r="K81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2.0876978767221343E-2</v>
      </c>
      <c r="L81" s="18">
        <f>IFERROR(VLOOKUP(Vertailu[[#This Row],[Y-tunnus]],'Suoritepäätös 2020'!$Q:$AC,COLUMN('Suoritepäätös 2020'!L:L),FALSE)-VLOOKUP(Vertailu[[#This Row],[Y-tunnus]],'Suoritepäätös 2020'!$B:$N,COLUMN('Suoritepäätös 2020'!F:F),FALSE),0)</f>
        <v>42209185</v>
      </c>
      <c r="M81" s="18">
        <f>IFERROR(VLOOKUP(Vertailu[[#This Row],[Y-tunnus]],'1.2 Ohjaus-laskentataulu'!A:AY,COLUMN('1.2 Ohjaus-laskentataulu'!Z:Z),FALSE),0)</f>
        <v>44648274</v>
      </c>
      <c r="N81" s="18">
        <f>IFERROR(Vertailu[[#This Row],[Rahoitus pl. hark. kor. 2021 ilman alv, €]]-Vertailu[[#This Row],[Rahoitus pl. hark. kor. 2020 ilman alv, €]],0)</f>
        <v>2439089</v>
      </c>
      <c r="O81" s="43">
        <f>IFERROR(Vertailu[[#This Row],[Muutos, € 1]]/Vertailu[[#This Row],[Rahoitus pl. hark. kor. 2020 ilman alv, €]],0)</f>
        <v>5.7785740236396411E-2</v>
      </c>
      <c r="P81" s="135">
        <f>IFERROR(VLOOKUP(Vertailu[[#This Row],[Y-tunnus]],'Suoritepäätös 2020'!$Q:$AC,COLUMN('Suoritepäätös 2020'!L:L),FALSE),0)</f>
        <v>42254185</v>
      </c>
      <c r="Q81" s="138">
        <f>IFERROR(VLOOKUP(Vertailu[[#This Row],[Y-tunnus]],'1.2 Ohjaus-laskentataulu'!A:AY,COLUMN('1.2 Ohjaus-laskentataulu'!AV:AV),FALSE),0)</f>
        <v>44803274</v>
      </c>
      <c r="R81" s="18">
        <f>IFERROR(Vertailu[[#This Row],[Rahoitus ml. hark. kor. 
2021 ilman alv, €]]-Vertailu[[#This Row],[Rahoitus ml. hark. kor. 
2020 ilman alv, €]],0)</f>
        <v>2549089</v>
      </c>
      <c r="S81" s="16">
        <f>IFERROR(Vertailu[[#This Row],[Muutos, € 2]]/Vertailu[[#This Row],[Rahoitus ml. hark. kor. 
2020 ilman alv, €]],0)</f>
        <v>6.0327491821224336E-2</v>
      </c>
      <c r="T81" s="138">
        <f>IFERROR(VLOOKUP(Vertailu[[#This Row],[Y-tunnus]],'Suoritepäätös 2020'!$Q:$AC,COLUMN('Suoritepäätös 2020'!L:L),FALSE)+VLOOKUP(Vertailu[[#This Row],[Y-tunnus]],'Suoritepäätös 2020'!$Q:$AC,COLUMN('Suoritepäätös 2020'!M:M),FALSE),0)</f>
        <v>45346648</v>
      </c>
      <c r="U81" s="135">
        <f>IFERROR(VLOOKUP(Vertailu[[#This Row],[Y-tunnus]],'1.2 Ohjaus-laskentataulu'!A:AY,COLUMN('1.2 Ohjaus-laskentataulu'!AX:AX),FALSE),0)</f>
        <v>47442353</v>
      </c>
      <c r="V81" s="141">
        <f>IFERROR(Vertailu[[#This Row],[Rahoitus ml. hark. kor. + alv 2021, €]]-Vertailu[[#This Row],[Rahoitus ml. hark. kor. + alv 2020, €]],0)</f>
        <v>2095705</v>
      </c>
      <c r="W81" s="43">
        <f>IFERROR(Vertailu[[#This Row],[Muutos, € 3]]/Vertailu[[#This Row],[Rahoitus ml. hark. kor. + alv 2020, €]],0)</f>
        <v>4.621521308476869E-2</v>
      </c>
      <c r="X81" s="18">
        <f>IFERROR(VLOOKUP(Vertailu[[#This Row],[Y-tunnus]],'Suoritepäätös 2020'!$B:$N,COLUMN('Suoritepäätös 2020'!G:G),FALSE),0)</f>
        <v>28681342</v>
      </c>
      <c r="Y81" s="18">
        <f>IFERROR(VLOOKUP(Vertailu[[#This Row],[Y-tunnus]],'1.2 Ohjaus-laskentataulu'!A:AY,COLUMN('1.2 Ohjaus-laskentataulu'!AS:AS),FALSE),0)</f>
        <v>30956718</v>
      </c>
      <c r="Z81" s="18">
        <f>Vertailu[[#This Row],[Perusrahoitus 2021, €]]-Vertailu[[#This Row],[Perusrahoitus 2020, €]]</f>
        <v>2275376</v>
      </c>
      <c r="AA81" s="43">
        <f>IFERROR(Vertailu[[#This Row],[Perusrahoituksen muutos, €]]/Vertailu[[#This Row],[Perusrahoitus 2020, €]],0)</f>
        <v>7.9332968450360516E-2</v>
      </c>
      <c r="AB81" s="18">
        <f>IFERROR(VLOOKUP(Vertailu[[#This Row],[Y-tunnus]],'Suoritepäätös 2020'!$B:$N,COLUMN('Suoritepäätös 2020'!M:M),FALSE),0)</f>
        <v>8361120</v>
      </c>
      <c r="AC81" s="18">
        <f>IFERROR(VLOOKUP(Vertailu[[#This Row],[Y-tunnus]],'1.2 Ohjaus-laskentataulu'!A:AY,COLUMN('1.2 Ohjaus-laskentataulu'!O:O),FALSE),0)</f>
        <v>8781324</v>
      </c>
      <c r="AD81" s="18">
        <f>Vertailu[[#This Row],[Suoritusrahoitus 2021, €]]-Vertailu[[#This Row],[Suoritusrahoitus 2020, €]]</f>
        <v>420204</v>
      </c>
      <c r="AE81" s="43">
        <f>IFERROR(Vertailu[[#This Row],[Suoritusrahoituksen muutos, €]]/Vertailu[[#This Row],[Suoritusrahoitus 2020, €]],0)</f>
        <v>5.0256903381365174E-2</v>
      </c>
      <c r="AF81" s="18">
        <f>IFERROR(VLOOKUP(Vertailu[[#This Row],[Y-tunnus]],'Suoritepäätös 2020'!$Q:$AC,COLUMN('Suoritepäätös 2020'!K:K),FALSE),0)</f>
        <v>5211723</v>
      </c>
      <c r="AG81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5065232</v>
      </c>
      <c r="AH81" s="18">
        <f>Vertailu[[#This Row],[Vaikuttavuusrahoitus 2021, €]]-Vertailu[[#This Row],[Vaikuttavuusrahoitus 2020, €]]</f>
        <v>-146491</v>
      </c>
      <c r="AI81" s="43">
        <f>IFERROR(Vertailu[[#This Row],[Vaikuttavuusrahoituksen muutos, €]]/Vertailu[[#This Row],[Vaikuttavuusrahoitus 2020, €]],0)</f>
        <v>-2.8107978877618782E-2</v>
      </c>
    </row>
    <row r="82" spans="1:35" ht="12.75" customHeight="1" x14ac:dyDescent="0.25">
      <c r="A82" s="22" t="s">
        <v>307</v>
      </c>
      <c r="B82" s="236" t="s">
        <v>83</v>
      </c>
      <c r="C82" s="142" t="s">
        <v>216</v>
      </c>
      <c r="D82" s="170" t="s">
        <v>392</v>
      </c>
      <c r="E82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0.71252881241218735</v>
      </c>
      <c r="F82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0.71252881241218735</v>
      </c>
      <c r="G82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0.21507022157724634</v>
      </c>
      <c r="H82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7.2400966010566323E-2</v>
      </c>
      <c r="I82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5.8854396173327585E-2</v>
      </c>
      <c r="J82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6.6876456840161379E-3</v>
      </c>
      <c r="K82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6.8589241532226045E-3</v>
      </c>
      <c r="L82" s="18">
        <f>IFERROR(VLOOKUP(Vertailu[[#This Row],[Y-tunnus]],'Suoritepäätös 2020'!$Q:$AC,COLUMN('Suoritepäätös 2020'!L:L),FALSE)-VLOOKUP(Vertailu[[#This Row],[Y-tunnus]],'Suoritepäätös 2020'!$B:$N,COLUMN('Suoritepäätös 2020'!F:F),FALSE),0)</f>
        <v>1908464</v>
      </c>
      <c r="M82" s="18">
        <f>IFERROR(VLOOKUP(Vertailu[[#This Row],[Y-tunnus]],'1.2 Ohjaus-laskentataulu'!A:AY,COLUMN('1.2 Ohjaus-laskentataulu'!Z:Z),FALSE),0)</f>
        <v>1926687</v>
      </c>
      <c r="N82" s="18">
        <f>IFERROR(Vertailu[[#This Row],[Rahoitus pl. hark. kor. 2021 ilman alv, €]]-Vertailu[[#This Row],[Rahoitus pl. hark. kor. 2020 ilman alv, €]],0)</f>
        <v>18223</v>
      </c>
      <c r="O82" s="43">
        <f>IFERROR(Vertailu[[#This Row],[Muutos, € 1]]/Vertailu[[#This Row],[Rahoitus pl. hark. kor. 2020 ilman alv, €]],0)</f>
        <v>9.5485165033241393E-3</v>
      </c>
      <c r="P82" s="135">
        <f>IFERROR(VLOOKUP(Vertailu[[#This Row],[Y-tunnus]],'Suoritepäätös 2020'!$Q:$AC,COLUMN('Suoritepäätös 2020'!L:L),FALSE),0)</f>
        <v>1908464</v>
      </c>
      <c r="Q82" s="138">
        <f>IFERROR(VLOOKUP(Vertailu[[#This Row],[Y-tunnus]],'1.2 Ohjaus-laskentataulu'!A:AY,COLUMN('1.2 Ohjaus-laskentataulu'!AV:AV),FALSE),0)</f>
        <v>1926687</v>
      </c>
      <c r="R82" s="18">
        <f>IFERROR(Vertailu[[#This Row],[Rahoitus ml. hark. kor. 
2021 ilman alv, €]]-Vertailu[[#This Row],[Rahoitus ml. hark. kor. 
2020 ilman alv, €]],0)</f>
        <v>18223</v>
      </c>
      <c r="S82" s="16">
        <f>IFERROR(Vertailu[[#This Row],[Muutos, € 2]]/Vertailu[[#This Row],[Rahoitus ml. hark. kor. 
2020 ilman alv, €]],0)</f>
        <v>9.5485165033241393E-3</v>
      </c>
      <c r="T82" s="138">
        <f>IFERROR(VLOOKUP(Vertailu[[#This Row],[Y-tunnus]],'Suoritepäätös 2020'!$Q:$AC,COLUMN('Suoritepäätös 2020'!L:L),FALSE)+VLOOKUP(Vertailu[[#This Row],[Y-tunnus]],'Suoritepäätös 2020'!$Q:$AC,COLUMN('Suoritepäätös 2020'!M:M),FALSE),0)</f>
        <v>1988868</v>
      </c>
      <c r="U82" s="135">
        <f>IFERROR(VLOOKUP(Vertailu[[#This Row],[Y-tunnus]],'1.2 Ohjaus-laskentataulu'!A:AY,COLUMN('1.2 Ohjaus-laskentataulu'!AX:AX),FALSE),0)</f>
        <v>2008359</v>
      </c>
      <c r="V82" s="141">
        <f>IFERROR(Vertailu[[#This Row],[Rahoitus ml. hark. kor. + alv 2021, €]]-Vertailu[[#This Row],[Rahoitus ml. hark. kor. + alv 2020, €]],0)</f>
        <v>19491</v>
      </c>
      <c r="W82" s="43">
        <f>IFERROR(Vertailu[[#This Row],[Muutos, € 3]]/Vertailu[[#This Row],[Rahoitus ml. hark. kor. + alv 2020, €]],0)</f>
        <v>9.8000470619467959E-3</v>
      </c>
      <c r="X82" s="18">
        <f>IFERROR(VLOOKUP(Vertailu[[#This Row],[Y-tunnus]],'Suoritepäätös 2020'!$B:$N,COLUMN('Suoritepäätös 2020'!G:G),FALSE),0)</f>
        <v>1280700</v>
      </c>
      <c r="Y82" s="18">
        <f>IFERROR(VLOOKUP(Vertailu[[#This Row],[Y-tunnus]],'1.2 Ohjaus-laskentataulu'!A:AY,COLUMN('1.2 Ohjaus-laskentataulu'!AS:AS),FALSE),0)</f>
        <v>1372820</v>
      </c>
      <c r="Z82" s="18">
        <f>Vertailu[[#This Row],[Perusrahoitus 2021, €]]-Vertailu[[#This Row],[Perusrahoitus 2020, €]]</f>
        <v>92120</v>
      </c>
      <c r="AA82" s="43">
        <f>IFERROR(Vertailu[[#This Row],[Perusrahoituksen muutos, €]]/Vertailu[[#This Row],[Perusrahoitus 2020, €]],0)</f>
        <v>7.1929413601936443E-2</v>
      </c>
      <c r="AB82" s="18">
        <f>IFERROR(VLOOKUP(Vertailu[[#This Row],[Y-tunnus]],'Suoritepäätös 2020'!$B:$N,COLUMN('Suoritepäätös 2020'!M:M),FALSE),0)</f>
        <v>406080</v>
      </c>
      <c r="AC82" s="18">
        <f>IFERROR(VLOOKUP(Vertailu[[#This Row],[Y-tunnus]],'1.2 Ohjaus-laskentataulu'!A:AY,COLUMN('1.2 Ohjaus-laskentataulu'!O:O),FALSE),0)</f>
        <v>414373</v>
      </c>
      <c r="AD82" s="18">
        <f>Vertailu[[#This Row],[Suoritusrahoitus 2021, €]]-Vertailu[[#This Row],[Suoritusrahoitus 2020, €]]</f>
        <v>8293</v>
      </c>
      <c r="AE82" s="43">
        <f>IFERROR(Vertailu[[#This Row],[Suoritusrahoituksen muutos, €]]/Vertailu[[#This Row],[Suoritusrahoitus 2020, €]],0)</f>
        <v>2.0422084318360914E-2</v>
      </c>
      <c r="AF82" s="18">
        <f>IFERROR(VLOOKUP(Vertailu[[#This Row],[Y-tunnus]],'Suoritepäätös 2020'!$Q:$AC,COLUMN('Suoritepäätös 2020'!K:K),FALSE),0)</f>
        <v>221684</v>
      </c>
      <c r="AG82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139494</v>
      </c>
      <c r="AH82" s="18">
        <f>Vertailu[[#This Row],[Vaikuttavuusrahoitus 2021, €]]-Vertailu[[#This Row],[Vaikuttavuusrahoitus 2020, €]]</f>
        <v>-82190</v>
      </c>
      <c r="AI82" s="43">
        <f>IFERROR(Vertailu[[#This Row],[Vaikuttavuusrahoituksen muutos, €]]/Vertailu[[#This Row],[Vaikuttavuusrahoitus 2020, €]],0)</f>
        <v>-0.37075296367802818</v>
      </c>
    </row>
    <row r="83" spans="1:35" ht="12.75" customHeight="1" x14ac:dyDescent="0.25">
      <c r="A83" s="22" t="s">
        <v>303</v>
      </c>
      <c r="B83" s="236" t="s">
        <v>84</v>
      </c>
      <c r="C83" s="142" t="s">
        <v>216</v>
      </c>
      <c r="D83" s="170" t="s">
        <v>392</v>
      </c>
      <c r="E83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0.5181563916361982</v>
      </c>
      <c r="F83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0.5350053074084683</v>
      </c>
      <c r="G83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0.19412646796178665</v>
      </c>
      <c r="H83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0.27086822462974508</v>
      </c>
      <c r="I83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0.16226348334484675</v>
      </c>
      <c r="J83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1.5234789641286583E-2</v>
      </c>
      <c r="K83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9.336995164361174E-2</v>
      </c>
      <c r="L83" s="18">
        <f>IFERROR(VLOOKUP(Vertailu[[#This Row],[Y-tunnus]],'Suoritepäätös 2020'!$Q:$AC,COLUMN('Suoritepäätös 2020'!L:L),FALSE)-VLOOKUP(Vertailu[[#This Row],[Y-tunnus]],'Suoritepäätös 2020'!$B:$N,COLUMN('Suoritepäätös 2020'!F:F),FALSE),0)</f>
        <v>573815</v>
      </c>
      <c r="M83" s="18">
        <f>IFERROR(VLOOKUP(Vertailu[[#This Row],[Y-tunnus]],'1.2 Ohjaus-laskentataulu'!A:AY,COLUMN('1.2 Ohjaus-laskentataulu'!Z:Z),FALSE),0)</f>
        <v>583510</v>
      </c>
      <c r="N83" s="18">
        <f>IFERROR(Vertailu[[#This Row],[Rahoitus pl. hark. kor. 2021 ilman alv, €]]-Vertailu[[#This Row],[Rahoitus pl. hark. kor. 2020 ilman alv, €]],0)</f>
        <v>9695</v>
      </c>
      <c r="O83" s="43">
        <f>IFERROR(Vertailu[[#This Row],[Muutos, € 1]]/Vertailu[[#This Row],[Rahoitus pl. hark. kor. 2020 ilman alv, €]],0)</f>
        <v>1.6895689377238308E-2</v>
      </c>
      <c r="P83" s="135">
        <f>IFERROR(VLOOKUP(Vertailu[[#This Row],[Y-tunnus]],'Suoritepäätös 2020'!$Q:$AC,COLUMN('Suoritepäätös 2020'!L:L),FALSE),0)</f>
        <v>573815</v>
      </c>
      <c r="Q83" s="138">
        <f>IFERROR(VLOOKUP(Vertailu[[#This Row],[Y-tunnus]],'1.2 Ohjaus-laskentataulu'!A:AY,COLUMN('1.2 Ohjaus-laskentataulu'!AV:AV),FALSE),0)</f>
        <v>593510</v>
      </c>
      <c r="R83" s="18">
        <f>IFERROR(Vertailu[[#This Row],[Rahoitus ml. hark. kor. 
2021 ilman alv, €]]-Vertailu[[#This Row],[Rahoitus ml. hark. kor. 
2020 ilman alv, €]],0)</f>
        <v>19695</v>
      </c>
      <c r="S83" s="16">
        <f>IFERROR(Vertailu[[#This Row],[Muutos, € 2]]/Vertailu[[#This Row],[Rahoitus ml. hark. kor. 
2020 ilman alv, €]],0)</f>
        <v>3.4322908951491336E-2</v>
      </c>
      <c r="T83" s="138">
        <f>IFERROR(VLOOKUP(Vertailu[[#This Row],[Y-tunnus]],'Suoritepäätös 2020'!$Q:$AC,COLUMN('Suoritepäätös 2020'!L:L),FALSE)+VLOOKUP(Vertailu[[#This Row],[Y-tunnus]],'Suoritepäätös 2020'!$Q:$AC,COLUMN('Suoritepäätös 2020'!M:M),FALSE),0)</f>
        <v>747699</v>
      </c>
      <c r="U83" s="135">
        <f>IFERROR(VLOOKUP(Vertailu[[#This Row],[Y-tunnus]],'1.2 Ohjaus-laskentataulu'!A:AY,COLUMN('1.2 Ohjaus-laskentataulu'!AX:AX),FALSE),0)</f>
        <v>750177</v>
      </c>
      <c r="V83" s="141">
        <f>IFERROR(Vertailu[[#This Row],[Rahoitus ml. hark. kor. + alv 2021, €]]-Vertailu[[#This Row],[Rahoitus ml. hark. kor. + alv 2020, €]],0)</f>
        <v>2478</v>
      </c>
      <c r="W83" s="43">
        <f>IFERROR(Vertailu[[#This Row],[Muutos, € 3]]/Vertailu[[#This Row],[Rahoitus ml. hark. kor. + alv 2020, €]],0)</f>
        <v>3.3141678670160052E-3</v>
      </c>
      <c r="X83" s="18">
        <f>IFERROR(VLOOKUP(Vertailu[[#This Row],[Y-tunnus]],'Suoritepäätös 2020'!$B:$N,COLUMN('Suoritepäätös 2020'!G:G),FALSE),0)</f>
        <v>261452</v>
      </c>
      <c r="Y83" s="18">
        <f>IFERROR(VLOOKUP(Vertailu[[#This Row],[Y-tunnus]],'1.2 Ohjaus-laskentataulu'!A:AY,COLUMN('1.2 Ohjaus-laskentataulu'!AS:AS),FALSE),0)</f>
        <v>317531</v>
      </c>
      <c r="Z83" s="18">
        <f>Vertailu[[#This Row],[Perusrahoitus 2021, €]]-Vertailu[[#This Row],[Perusrahoitus 2020, €]]</f>
        <v>56079</v>
      </c>
      <c r="AA83" s="43">
        <f>IFERROR(Vertailu[[#This Row],[Perusrahoituksen muutos, €]]/Vertailu[[#This Row],[Perusrahoitus 2020, €]],0)</f>
        <v>0.21449061395590777</v>
      </c>
      <c r="AB83" s="18">
        <f>IFERROR(VLOOKUP(Vertailu[[#This Row],[Y-tunnus]],'Suoritepäätös 2020'!$B:$N,COLUMN('Suoritepäätös 2020'!M:M),FALSE),0)</f>
        <v>108721</v>
      </c>
      <c r="AC83" s="18">
        <f>IFERROR(VLOOKUP(Vertailu[[#This Row],[Y-tunnus]],'1.2 Ohjaus-laskentataulu'!A:AY,COLUMN('1.2 Ohjaus-laskentataulu'!O:O),FALSE),0)</f>
        <v>115216</v>
      </c>
      <c r="AD83" s="18">
        <f>Vertailu[[#This Row],[Suoritusrahoitus 2021, €]]-Vertailu[[#This Row],[Suoritusrahoitus 2020, €]]</f>
        <v>6495</v>
      </c>
      <c r="AE83" s="43">
        <f>IFERROR(Vertailu[[#This Row],[Suoritusrahoituksen muutos, €]]/Vertailu[[#This Row],[Suoritusrahoitus 2020, €]],0)</f>
        <v>5.9740068615998752E-2</v>
      </c>
      <c r="AF83" s="18">
        <f>IFERROR(VLOOKUP(Vertailu[[#This Row],[Y-tunnus]],'Suoritepäätös 2020'!$Q:$AC,COLUMN('Suoritepäätös 2020'!K:K),FALSE),0)</f>
        <v>203642</v>
      </c>
      <c r="AG83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160763</v>
      </c>
      <c r="AH83" s="18">
        <f>Vertailu[[#This Row],[Vaikuttavuusrahoitus 2021, €]]-Vertailu[[#This Row],[Vaikuttavuusrahoitus 2020, €]]</f>
        <v>-42879</v>
      </c>
      <c r="AI83" s="43">
        <f>IFERROR(Vertailu[[#This Row],[Vaikuttavuusrahoituksen muutos, €]]/Vertailu[[#This Row],[Vaikuttavuusrahoitus 2020, €]],0)</f>
        <v>-0.21056068983804913</v>
      </c>
    </row>
    <row r="84" spans="1:35" ht="12.75" customHeight="1" x14ac:dyDescent="0.25">
      <c r="A84" s="22" t="s">
        <v>305</v>
      </c>
      <c r="B84" s="236" t="s">
        <v>86</v>
      </c>
      <c r="C84" s="142" t="s">
        <v>224</v>
      </c>
      <c r="D84" s="170" t="s">
        <v>392</v>
      </c>
      <c r="E84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0.60996415423827044</v>
      </c>
      <c r="F84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0.62182104816839445</v>
      </c>
      <c r="G84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0.23872954804365992</v>
      </c>
      <c r="H84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0.13944940378794562</v>
      </c>
      <c r="I84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0.10250664223197965</v>
      </c>
      <c r="J84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7.6761531303622807E-3</v>
      </c>
      <c r="K84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2.926660842560368E-2</v>
      </c>
      <c r="L84" s="18">
        <f>IFERROR(VLOOKUP(Vertailu[[#This Row],[Y-tunnus]],'Suoritepäätös 2020'!$Q:$AC,COLUMN('Suoritepäätös 2020'!L:L),FALSE)-VLOOKUP(Vertailu[[#This Row],[Y-tunnus]],'Suoritepäätös 2020'!$B:$N,COLUMN('Suoritepäätös 2020'!F:F),FALSE),0)</f>
        <v>1864303</v>
      </c>
      <c r="M84" s="18">
        <f>IFERROR(VLOOKUP(Vertailu[[#This Row],[Y-tunnus]],'1.2 Ohjaus-laskentataulu'!A:AY,COLUMN('1.2 Ohjaus-laskentataulu'!Z:Z),FALSE),0)</f>
        <v>2083478</v>
      </c>
      <c r="N84" s="18">
        <f>IFERROR(Vertailu[[#This Row],[Rahoitus pl. hark. kor. 2021 ilman alv, €]]-Vertailu[[#This Row],[Rahoitus pl. hark. kor. 2020 ilman alv, €]],0)</f>
        <v>219175</v>
      </c>
      <c r="O84" s="43">
        <f>IFERROR(Vertailu[[#This Row],[Muutos, € 1]]/Vertailu[[#This Row],[Rahoitus pl. hark. kor. 2020 ilman alv, €]],0)</f>
        <v>0.117564044042197</v>
      </c>
      <c r="P84" s="135">
        <f>IFERROR(VLOOKUP(Vertailu[[#This Row],[Y-tunnus]],'Suoritepäätös 2020'!$Q:$AC,COLUMN('Suoritepäätös 2020'!L:L),FALSE),0)</f>
        <v>1864303</v>
      </c>
      <c r="Q84" s="138">
        <f>IFERROR(VLOOKUP(Vertailu[[#This Row],[Y-tunnus]],'1.2 Ohjaus-laskentataulu'!A:AY,COLUMN('1.2 Ohjaus-laskentataulu'!AV:AV),FALSE),0)</f>
        <v>2108478</v>
      </c>
      <c r="R84" s="18">
        <f>IFERROR(Vertailu[[#This Row],[Rahoitus ml. hark. kor. 
2021 ilman alv, €]]-Vertailu[[#This Row],[Rahoitus ml. hark. kor. 
2020 ilman alv, €]],0)</f>
        <v>244175</v>
      </c>
      <c r="S84" s="16">
        <f>IFERROR(Vertailu[[#This Row],[Muutos, € 2]]/Vertailu[[#This Row],[Rahoitus ml. hark. kor. 
2020 ilman alv, €]],0)</f>
        <v>0.13097388139159782</v>
      </c>
      <c r="T84" s="138">
        <f>IFERROR(VLOOKUP(Vertailu[[#This Row],[Y-tunnus]],'Suoritepäätös 2020'!$Q:$AC,COLUMN('Suoritepäätös 2020'!L:L),FALSE)+VLOOKUP(Vertailu[[#This Row],[Y-tunnus]],'Suoritepäätös 2020'!$Q:$AC,COLUMN('Suoritepäätös 2020'!M:M),FALSE),0)</f>
        <v>1955936</v>
      </c>
      <c r="U84" s="135">
        <f>IFERROR(VLOOKUP(Vertailu[[#This Row],[Y-tunnus]],'1.2 Ohjaus-laskentataulu'!A:AY,COLUMN('1.2 Ohjaus-laskentataulu'!AX:AX),FALSE),0)</f>
        <v>2199106</v>
      </c>
      <c r="V84" s="141">
        <f>IFERROR(Vertailu[[#This Row],[Rahoitus ml. hark. kor. + alv 2021, €]]-Vertailu[[#This Row],[Rahoitus ml. hark. kor. + alv 2020, €]],0)</f>
        <v>243170</v>
      </c>
      <c r="W84" s="43">
        <f>IFERROR(Vertailu[[#This Row],[Muutos, € 3]]/Vertailu[[#This Row],[Rahoitus ml. hark. kor. + alv 2020, €]],0)</f>
        <v>0.12432410876429495</v>
      </c>
      <c r="X84" s="18">
        <f>IFERROR(VLOOKUP(Vertailu[[#This Row],[Y-tunnus]],'Suoritepäätös 2020'!$B:$N,COLUMN('Suoritepäätös 2020'!G:G),FALSE),0)</f>
        <v>1232895</v>
      </c>
      <c r="Y84" s="18">
        <f>IFERROR(VLOOKUP(Vertailu[[#This Row],[Y-tunnus]],'1.2 Ohjaus-laskentataulu'!A:AY,COLUMN('1.2 Ohjaus-laskentataulu'!AS:AS),FALSE),0)</f>
        <v>1311096</v>
      </c>
      <c r="Z84" s="18">
        <f>Vertailu[[#This Row],[Perusrahoitus 2021, €]]-Vertailu[[#This Row],[Perusrahoitus 2020, €]]</f>
        <v>78201</v>
      </c>
      <c r="AA84" s="43">
        <f>IFERROR(Vertailu[[#This Row],[Perusrahoituksen muutos, €]]/Vertailu[[#This Row],[Perusrahoitus 2020, €]],0)</f>
        <v>6.342875914007276E-2</v>
      </c>
      <c r="AB84" s="18">
        <f>IFERROR(VLOOKUP(Vertailu[[#This Row],[Y-tunnus]],'Suoritepäätös 2020'!$B:$N,COLUMN('Suoritepäätös 2020'!M:M),FALSE),0)</f>
        <v>384110</v>
      </c>
      <c r="AC84" s="18">
        <f>IFERROR(VLOOKUP(Vertailu[[#This Row],[Y-tunnus]],'1.2 Ohjaus-laskentataulu'!A:AY,COLUMN('1.2 Ohjaus-laskentataulu'!O:O),FALSE),0)</f>
        <v>503356</v>
      </c>
      <c r="AD84" s="18">
        <f>Vertailu[[#This Row],[Suoritusrahoitus 2021, €]]-Vertailu[[#This Row],[Suoritusrahoitus 2020, €]]</f>
        <v>119246</v>
      </c>
      <c r="AE84" s="43">
        <f>IFERROR(Vertailu[[#This Row],[Suoritusrahoituksen muutos, €]]/Vertailu[[#This Row],[Suoritusrahoitus 2020, €]],0)</f>
        <v>0.31044752805186016</v>
      </c>
      <c r="AF84" s="18">
        <f>IFERROR(VLOOKUP(Vertailu[[#This Row],[Y-tunnus]],'Suoritepäätös 2020'!$Q:$AC,COLUMN('Suoritepäätös 2020'!K:K),FALSE),0)</f>
        <v>247298</v>
      </c>
      <c r="AG84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294026</v>
      </c>
      <c r="AH84" s="18">
        <f>Vertailu[[#This Row],[Vaikuttavuusrahoitus 2021, €]]-Vertailu[[#This Row],[Vaikuttavuusrahoitus 2020, €]]</f>
        <v>46728</v>
      </c>
      <c r="AI84" s="43">
        <f>IFERROR(Vertailu[[#This Row],[Vaikuttavuusrahoituksen muutos, €]]/Vertailu[[#This Row],[Vaikuttavuusrahoitus 2020, €]],0)</f>
        <v>0.18895421717927358</v>
      </c>
    </row>
    <row r="85" spans="1:35" ht="12.75" customHeight="1" x14ac:dyDescent="0.25">
      <c r="A85" s="22" t="s">
        <v>342</v>
      </c>
      <c r="B85" s="236" t="s">
        <v>532</v>
      </c>
      <c r="C85" s="142" t="s">
        <v>216</v>
      </c>
      <c r="D85" s="170" t="s">
        <v>392</v>
      </c>
      <c r="E85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0.58742250924055761</v>
      </c>
      <c r="F85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0.59768646920974522</v>
      </c>
      <c r="G85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0.24875288609724383</v>
      </c>
      <c r="H85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0.15356064469301095</v>
      </c>
      <c r="I85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0.10482377037331904</v>
      </c>
      <c r="J85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1.0365915304881523E-2</v>
      </c>
      <c r="K85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3.8370959014810378E-2</v>
      </c>
      <c r="L85" s="18">
        <f>IFERROR(VLOOKUP(Vertailu[[#This Row],[Y-tunnus]],'Suoritepäätös 2020'!$Q:$AC,COLUMN('Suoritepäätös 2020'!L:L),FALSE)-VLOOKUP(Vertailu[[#This Row],[Y-tunnus]],'Suoritepäätös 2020'!$B:$N,COLUMN('Suoritepäätös 2020'!F:F),FALSE),0)</f>
        <v>5378728</v>
      </c>
      <c r="M85" s="18">
        <f>IFERROR(VLOOKUP(Vertailu[[#This Row],[Y-tunnus]],'1.2 Ohjaus-laskentataulu'!A:AY,COLUMN('1.2 Ohjaus-laskentataulu'!Z:Z),FALSE),0)</f>
        <v>5785697</v>
      </c>
      <c r="N85" s="18">
        <f>IFERROR(Vertailu[[#This Row],[Rahoitus pl. hark. kor. 2021 ilman alv, €]]-Vertailu[[#This Row],[Rahoitus pl. hark. kor. 2020 ilman alv, €]],0)</f>
        <v>406969</v>
      </c>
      <c r="O85" s="43">
        <f>IFERROR(Vertailu[[#This Row],[Muutos, € 1]]/Vertailu[[#This Row],[Rahoitus pl. hark. kor. 2020 ilman alv, €]],0)</f>
        <v>7.5662684560364457E-2</v>
      </c>
      <c r="P85" s="135">
        <f>IFERROR(VLOOKUP(Vertailu[[#This Row],[Y-tunnus]],'Suoritepäätös 2020'!$Q:$AC,COLUMN('Suoritepäätös 2020'!L:L),FALSE),0)</f>
        <v>5378728</v>
      </c>
      <c r="Q85" s="138">
        <f>IFERROR(VLOOKUP(Vertailu[[#This Row],[Y-tunnus]],'1.2 Ohjaus-laskentataulu'!A:AY,COLUMN('1.2 Ohjaus-laskentataulu'!AV:AV),FALSE),0)</f>
        <v>5845697</v>
      </c>
      <c r="R85" s="18">
        <f>IFERROR(Vertailu[[#This Row],[Rahoitus ml. hark. kor. 
2021 ilman alv, €]]-Vertailu[[#This Row],[Rahoitus ml. hark. kor. 
2020 ilman alv, €]],0)</f>
        <v>466969</v>
      </c>
      <c r="S85" s="16">
        <f>IFERROR(Vertailu[[#This Row],[Muutos, € 2]]/Vertailu[[#This Row],[Rahoitus ml. hark. kor. 
2020 ilman alv, €]],0)</f>
        <v>8.6817738320286872E-2</v>
      </c>
      <c r="T85" s="138">
        <f>IFERROR(VLOOKUP(Vertailu[[#This Row],[Y-tunnus]],'Suoritepäätös 2020'!$Q:$AC,COLUMN('Suoritepäätös 2020'!L:L),FALSE)+VLOOKUP(Vertailu[[#This Row],[Y-tunnus]],'Suoritepäätös 2020'!$Q:$AC,COLUMN('Suoritepäätös 2020'!M:M),FALSE),0)</f>
        <v>5793189</v>
      </c>
      <c r="U85" s="135">
        <f>IFERROR(VLOOKUP(Vertailu[[#This Row],[Y-tunnus]],'1.2 Ohjaus-laskentataulu'!A:AY,COLUMN('1.2 Ohjaus-laskentataulu'!AX:AX),FALSE),0)</f>
        <v>6106722</v>
      </c>
      <c r="V85" s="141">
        <f>IFERROR(Vertailu[[#This Row],[Rahoitus ml. hark. kor. + alv 2021, €]]-Vertailu[[#This Row],[Rahoitus ml. hark. kor. + alv 2020, €]],0)</f>
        <v>313533</v>
      </c>
      <c r="W85" s="43">
        <f>IFERROR(Vertailu[[#This Row],[Muutos, € 3]]/Vertailu[[#This Row],[Rahoitus ml. hark. kor. + alv 2020, €]],0)</f>
        <v>5.4120968606410046E-2</v>
      </c>
      <c r="X85" s="18">
        <f>IFERROR(VLOOKUP(Vertailu[[#This Row],[Y-tunnus]],'Suoritepäätös 2020'!$B:$N,COLUMN('Suoritepäätös 2020'!G:G),FALSE),0)</f>
        <v>3410676</v>
      </c>
      <c r="Y85" s="18">
        <f>IFERROR(VLOOKUP(Vertailu[[#This Row],[Y-tunnus]],'1.2 Ohjaus-laskentataulu'!A:AY,COLUMN('1.2 Ohjaus-laskentataulu'!AS:AS),FALSE),0)</f>
        <v>3493894</v>
      </c>
      <c r="Z85" s="18">
        <f>Vertailu[[#This Row],[Perusrahoitus 2021, €]]-Vertailu[[#This Row],[Perusrahoitus 2020, €]]</f>
        <v>83218</v>
      </c>
      <c r="AA85" s="43">
        <f>IFERROR(Vertailu[[#This Row],[Perusrahoituksen muutos, €]]/Vertailu[[#This Row],[Perusrahoitus 2020, €]],0)</f>
        <v>2.4399268649382116E-2</v>
      </c>
      <c r="AB85" s="18">
        <f>IFERROR(VLOOKUP(Vertailu[[#This Row],[Y-tunnus]],'Suoritepäätös 2020'!$B:$N,COLUMN('Suoritepäätös 2020'!M:M),FALSE),0)</f>
        <v>1044491</v>
      </c>
      <c r="AC85" s="18">
        <f>IFERROR(VLOOKUP(Vertailu[[#This Row],[Y-tunnus]],'1.2 Ohjaus-laskentataulu'!A:AY,COLUMN('1.2 Ohjaus-laskentataulu'!O:O),FALSE),0)</f>
        <v>1454134</v>
      </c>
      <c r="AD85" s="18">
        <f>Vertailu[[#This Row],[Suoritusrahoitus 2021, €]]-Vertailu[[#This Row],[Suoritusrahoitus 2020, €]]</f>
        <v>409643</v>
      </c>
      <c r="AE85" s="43">
        <f>IFERROR(Vertailu[[#This Row],[Suoritusrahoituksen muutos, €]]/Vertailu[[#This Row],[Suoritusrahoitus 2020, €]],0)</f>
        <v>0.39219390114419367</v>
      </c>
      <c r="AF85" s="18">
        <f>IFERROR(VLOOKUP(Vertailu[[#This Row],[Y-tunnus]],'Suoritepäätös 2020'!$Q:$AC,COLUMN('Suoritepäätös 2020'!K:K),FALSE),0)</f>
        <v>923561</v>
      </c>
      <c r="AG85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897669</v>
      </c>
      <c r="AH85" s="18">
        <f>Vertailu[[#This Row],[Vaikuttavuusrahoitus 2021, €]]-Vertailu[[#This Row],[Vaikuttavuusrahoitus 2020, €]]</f>
        <v>-25892</v>
      </c>
      <c r="AI85" s="43">
        <f>IFERROR(Vertailu[[#This Row],[Vaikuttavuusrahoituksen muutos, €]]/Vertailu[[#This Row],[Vaikuttavuusrahoitus 2020, €]],0)</f>
        <v>-2.8034964663947483E-2</v>
      </c>
    </row>
    <row r="86" spans="1:35" ht="12.75" customHeight="1" x14ac:dyDescent="0.25">
      <c r="A86" s="22" t="s">
        <v>304</v>
      </c>
      <c r="B86" s="236" t="s">
        <v>165</v>
      </c>
      <c r="C86" s="142" t="s">
        <v>232</v>
      </c>
      <c r="D86" s="170" t="s">
        <v>392</v>
      </c>
      <c r="E86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</v>
      </c>
      <c r="F86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</v>
      </c>
      <c r="G86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0.63385422607505415</v>
      </c>
      <c r="H86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0.36614577392494579</v>
      </c>
      <c r="I86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</v>
      </c>
      <c r="J86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4.7792859587087941E-2</v>
      </c>
      <c r="K86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0.3183529143378579</v>
      </c>
      <c r="L86" s="18">
        <f>IFERROR(VLOOKUP(Vertailu[[#This Row],[Y-tunnus]],'Suoritepäätös 2020'!$Q:$AC,COLUMN('Suoritepäätös 2020'!L:L),FALSE)-VLOOKUP(Vertailu[[#This Row],[Y-tunnus]],'Suoritepäätös 2020'!$B:$N,COLUMN('Suoritepäätös 2020'!F:F),FALSE),0)</f>
        <v>34821</v>
      </c>
      <c r="M86" s="18">
        <f>IFERROR(VLOOKUP(Vertailu[[#This Row],[Y-tunnus]],'1.2 Ohjaus-laskentataulu'!A:AY,COLUMN('1.2 Ohjaus-laskentataulu'!Z:Z),FALSE),0)</f>
        <v>17534</v>
      </c>
      <c r="N86" s="18">
        <f>IFERROR(Vertailu[[#This Row],[Rahoitus pl. hark. kor. 2021 ilman alv, €]]-Vertailu[[#This Row],[Rahoitus pl. hark. kor. 2020 ilman alv, €]],0)</f>
        <v>-17287</v>
      </c>
      <c r="O86" s="43">
        <f>IFERROR(Vertailu[[#This Row],[Muutos, € 1]]/Vertailu[[#This Row],[Rahoitus pl. hark. kor. 2020 ilman alv, €]],0)</f>
        <v>-0.49645328968151403</v>
      </c>
      <c r="P86" s="135">
        <f>IFERROR(VLOOKUP(Vertailu[[#This Row],[Y-tunnus]],'Suoritepäätös 2020'!$Q:$AC,COLUMN('Suoritepäätös 2020'!L:L),FALSE),0)</f>
        <v>34821</v>
      </c>
      <c r="Q86" s="138">
        <f>IFERROR(VLOOKUP(Vertailu[[#This Row],[Y-tunnus]],'1.2 Ohjaus-laskentataulu'!A:AY,COLUMN('1.2 Ohjaus-laskentataulu'!AV:AV),FALSE),0)</f>
        <v>17534</v>
      </c>
      <c r="R86" s="18">
        <f>IFERROR(Vertailu[[#This Row],[Rahoitus ml. hark. kor. 
2021 ilman alv, €]]-Vertailu[[#This Row],[Rahoitus ml. hark. kor. 
2020 ilman alv, €]],0)</f>
        <v>-17287</v>
      </c>
      <c r="S86" s="16">
        <f>IFERROR(Vertailu[[#This Row],[Muutos, € 2]]/Vertailu[[#This Row],[Rahoitus ml. hark. kor. 
2020 ilman alv, €]],0)</f>
        <v>-0.49645328968151403</v>
      </c>
      <c r="T86" s="138">
        <f>IFERROR(VLOOKUP(Vertailu[[#This Row],[Y-tunnus]],'Suoritepäätös 2020'!$Q:$AC,COLUMN('Suoritepäätös 2020'!L:L),FALSE)+VLOOKUP(Vertailu[[#This Row],[Y-tunnus]],'Suoritepäätös 2020'!$Q:$AC,COLUMN('Suoritepäätös 2020'!M:M),FALSE),0)</f>
        <v>34821</v>
      </c>
      <c r="U86" s="135">
        <f>IFERROR(VLOOKUP(Vertailu[[#This Row],[Y-tunnus]],'1.2 Ohjaus-laskentataulu'!A:AY,COLUMN('1.2 Ohjaus-laskentataulu'!AX:AX),FALSE),0)</f>
        <v>17534</v>
      </c>
      <c r="V86" s="141">
        <f>IFERROR(Vertailu[[#This Row],[Rahoitus ml. hark. kor. + alv 2021, €]]-Vertailu[[#This Row],[Rahoitus ml. hark. kor. + alv 2020, €]],0)</f>
        <v>-17287</v>
      </c>
      <c r="W86" s="43">
        <f>IFERROR(Vertailu[[#This Row],[Muutos, € 3]]/Vertailu[[#This Row],[Rahoitus ml. hark. kor. + alv 2020, €]],0)</f>
        <v>-0.49645328968151403</v>
      </c>
      <c r="X86" s="18">
        <f>IFERROR(VLOOKUP(Vertailu[[#This Row],[Y-tunnus]],'Suoritepäätös 2020'!$B:$N,COLUMN('Suoritepäätös 2020'!G:G),FALSE),0)</f>
        <v>34821</v>
      </c>
      <c r="Y86" s="18">
        <f>IFERROR(VLOOKUP(Vertailu[[#This Row],[Y-tunnus]],'1.2 Ohjaus-laskentataulu'!A:AY,COLUMN('1.2 Ohjaus-laskentataulu'!AS:AS),FALSE),0)</f>
        <v>0</v>
      </c>
      <c r="Z86" s="18">
        <f>Vertailu[[#This Row],[Perusrahoitus 2021, €]]-Vertailu[[#This Row],[Perusrahoitus 2020, €]]</f>
        <v>-34821</v>
      </c>
      <c r="AA86" s="43">
        <f>IFERROR(Vertailu[[#This Row],[Perusrahoituksen muutos, €]]/Vertailu[[#This Row],[Perusrahoitus 2020, €]],0)</f>
        <v>-1</v>
      </c>
      <c r="AB86" s="18">
        <f>IFERROR(VLOOKUP(Vertailu[[#This Row],[Y-tunnus]],'Suoritepäätös 2020'!$B:$N,COLUMN('Suoritepäätös 2020'!M:M),FALSE),0)</f>
        <v>0</v>
      </c>
      <c r="AC86" s="18">
        <f>IFERROR(VLOOKUP(Vertailu[[#This Row],[Y-tunnus]],'1.2 Ohjaus-laskentataulu'!A:AY,COLUMN('1.2 Ohjaus-laskentataulu'!O:O),FALSE),0)</f>
        <v>11114</v>
      </c>
      <c r="AD86" s="18">
        <f>Vertailu[[#This Row],[Suoritusrahoitus 2021, €]]-Vertailu[[#This Row],[Suoritusrahoitus 2020, €]]</f>
        <v>11114</v>
      </c>
      <c r="AE86" s="43">
        <f>IFERROR(Vertailu[[#This Row],[Suoritusrahoituksen muutos, €]]/Vertailu[[#This Row],[Suoritusrahoitus 2020, €]],0)</f>
        <v>0</v>
      </c>
      <c r="AF86" s="18">
        <f>IFERROR(VLOOKUP(Vertailu[[#This Row],[Y-tunnus]],'Suoritepäätös 2020'!$Q:$AC,COLUMN('Suoritepäätös 2020'!K:K),FALSE),0)</f>
        <v>0</v>
      </c>
      <c r="AG86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6420</v>
      </c>
      <c r="AH86" s="18">
        <f>Vertailu[[#This Row],[Vaikuttavuusrahoitus 2021, €]]-Vertailu[[#This Row],[Vaikuttavuusrahoitus 2020, €]]</f>
        <v>6420</v>
      </c>
      <c r="AI86" s="43">
        <f>IFERROR(Vertailu[[#This Row],[Vaikuttavuusrahoituksen muutos, €]]/Vertailu[[#This Row],[Vaikuttavuusrahoitus 2020, €]],0)</f>
        <v>0</v>
      </c>
    </row>
    <row r="87" spans="1:35" ht="12.75" customHeight="1" x14ac:dyDescent="0.25">
      <c r="A87" s="22" t="s">
        <v>301</v>
      </c>
      <c r="B87" s="236" t="s">
        <v>183</v>
      </c>
      <c r="C87" s="142" t="s">
        <v>216</v>
      </c>
      <c r="D87" s="170" t="s">
        <v>392</v>
      </c>
      <c r="E87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</v>
      </c>
      <c r="F87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</v>
      </c>
      <c r="G87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</v>
      </c>
      <c r="H87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</v>
      </c>
      <c r="I87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</v>
      </c>
      <c r="J87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0</v>
      </c>
      <c r="K87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0</v>
      </c>
      <c r="L87" s="18">
        <f>IFERROR(VLOOKUP(Vertailu[[#This Row],[Y-tunnus]],'Suoritepäätös 2020'!$Q:$AC,COLUMN('Suoritepäätös 2020'!L:L),FALSE)-VLOOKUP(Vertailu[[#This Row],[Y-tunnus]],'Suoritepäätös 2020'!$B:$N,COLUMN('Suoritepäätös 2020'!F:F),FALSE),0)</f>
        <v>0</v>
      </c>
      <c r="M87" s="18">
        <f>IFERROR(VLOOKUP(Vertailu[[#This Row],[Y-tunnus]],'1.2 Ohjaus-laskentataulu'!A:AY,COLUMN('1.2 Ohjaus-laskentataulu'!Z:Z),FALSE),0)</f>
        <v>0</v>
      </c>
      <c r="N87" s="18">
        <f>IFERROR(Vertailu[[#This Row],[Rahoitus pl. hark. kor. 2021 ilman alv, €]]-Vertailu[[#This Row],[Rahoitus pl. hark. kor. 2020 ilman alv, €]],0)</f>
        <v>0</v>
      </c>
      <c r="O87" s="43">
        <f>IFERROR(Vertailu[[#This Row],[Muutos, € 1]]/Vertailu[[#This Row],[Rahoitus pl. hark. kor. 2020 ilman alv, €]],0)</f>
        <v>0</v>
      </c>
      <c r="P87" s="135">
        <f>IFERROR(VLOOKUP(Vertailu[[#This Row],[Y-tunnus]],'Suoritepäätös 2020'!$Q:$AC,COLUMN('Suoritepäätös 2020'!L:L),FALSE),0)</f>
        <v>0</v>
      </c>
      <c r="Q87" s="138">
        <f>IFERROR(VLOOKUP(Vertailu[[#This Row],[Y-tunnus]],'1.2 Ohjaus-laskentataulu'!A:AY,COLUMN('1.2 Ohjaus-laskentataulu'!AV:AV),FALSE),0)</f>
        <v>0</v>
      </c>
      <c r="R87" s="18">
        <f>IFERROR(Vertailu[[#This Row],[Rahoitus ml. hark. kor. 
2021 ilman alv, €]]-Vertailu[[#This Row],[Rahoitus ml. hark. kor. 
2020 ilman alv, €]],0)</f>
        <v>0</v>
      </c>
      <c r="S87" s="16">
        <f>IFERROR(Vertailu[[#This Row],[Muutos, € 2]]/Vertailu[[#This Row],[Rahoitus ml. hark. kor. 
2020 ilman alv, €]],0)</f>
        <v>0</v>
      </c>
      <c r="T87" s="138">
        <f>IFERROR(VLOOKUP(Vertailu[[#This Row],[Y-tunnus]],'Suoritepäätös 2020'!$Q:$AC,COLUMN('Suoritepäätös 2020'!L:L),FALSE)+VLOOKUP(Vertailu[[#This Row],[Y-tunnus]],'Suoritepäätös 2020'!$Q:$AC,COLUMN('Suoritepäätös 2020'!M:M),FALSE),0)</f>
        <v>0</v>
      </c>
      <c r="U87" s="135">
        <f>IFERROR(VLOOKUP(Vertailu[[#This Row],[Y-tunnus]],'1.2 Ohjaus-laskentataulu'!A:AY,COLUMN('1.2 Ohjaus-laskentataulu'!AX:AX),FALSE),0)</f>
        <v>0</v>
      </c>
      <c r="V87" s="141">
        <f>IFERROR(Vertailu[[#This Row],[Rahoitus ml. hark. kor. + alv 2021, €]]-Vertailu[[#This Row],[Rahoitus ml. hark. kor. + alv 2020, €]],0)</f>
        <v>0</v>
      </c>
      <c r="W87" s="43">
        <f>IFERROR(Vertailu[[#This Row],[Muutos, € 3]]/Vertailu[[#This Row],[Rahoitus ml. hark. kor. + alv 2020, €]],0)</f>
        <v>0</v>
      </c>
      <c r="X87" s="18">
        <f>IFERROR(VLOOKUP(Vertailu[[#This Row],[Y-tunnus]],'Suoritepäätös 2020'!$B:$N,COLUMN('Suoritepäätös 2020'!G:G),FALSE),0)</f>
        <v>0</v>
      </c>
      <c r="Y87" s="18">
        <f>IFERROR(VLOOKUP(Vertailu[[#This Row],[Y-tunnus]],'1.2 Ohjaus-laskentataulu'!A:AY,COLUMN('1.2 Ohjaus-laskentataulu'!AS:AS),FALSE),0)</f>
        <v>0</v>
      </c>
      <c r="Z87" s="18">
        <f>Vertailu[[#This Row],[Perusrahoitus 2021, €]]-Vertailu[[#This Row],[Perusrahoitus 2020, €]]</f>
        <v>0</v>
      </c>
      <c r="AA87" s="43">
        <f>IFERROR(Vertailu[[#This Row],[Perusrahoituksen muutos, €]]/Vertailu[[#This Row],[Perusrahoitus 2020, €]],0)</f>
        <v>0</v>
      </c>
      <c r="AB87" s="18">
        <f>IFERROR(VLOOKUP(Vertailu[[#This Row],[Y-tunnus]],'Suoritepäätös 2020'!$B:$N,COLUMN('Suoritepäätös 2020'!M:M),FALSE),0)</f>
        <v>0</v>
      </c>
      <c r="AC87" s="18">
        <f>IFERROR(VLOOKUP(Vertailu[[#This Row],[Y-tunnus]],'1.2 Ohjaus-laskentataulu'!A:AY,COLUMN('1.2 Ohjaus-laskentataulu'!O:O),FALSE),0)</f>
        <v>0</v>
      </c>
      <c r="AD87" s="18">
        <f>Vertailu[[#This Row],[Suoritusrahoitus 2021, €]]-Vertailu[[#This Row],[Suoritusrahoitus 2020, €]]</f>
        <v>0</v>
      </c>
      <c r="AE87" s="43">
        <f>IFERROR(Vertailu[[#This Row],[Suoritusrahoituksen muutos, €]]/Vertailu[[#This Row],[Suoritusrahoitus 2020, €]],0)</f>
        <v>0</v>
      </c>
      <c r="AF87" s="18">
        <f>IFERROR(VLOOKUP(Vertailu[[#This Row],[Y-tunnus]],'Suoritepäätös 2020'!$Q:$AC,COLUMN('Suoritepäätös 2020'!K:K),FALSE),0)</f>
        <v>0</v>
      </c>
      <c r="AG87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0</v>
      </c>
      <c r="AH87" s="18">
        <f>Vertailu[[#This Row],[Vaikuttavuusrahoitus 2021, €]]-Vertailu[[#This Row],[Vaikuttavuusrahoitus 2020, €]]</f>
        <v>0</v>
      </c>
      <c r="AI87" s="43">
        <f>IFERROR(Vertailu[[#This Row],[Vaikuttavuusrahoituksen muutos, €]]/Vertailu[[#This Row],[Vaikuttavuusrahoitus 2020, €]],0)</f>
        <v>0</v>
      </c>
    </row>
    <row r="88" spans="1:35" ht="12.75" customHeight="1" x14ac:dyDescent="0.25">
      <c r="A88" s="22" t="s">
        <v>300</v>
      </c>
      <c r="B88" s="236" t="s">
        <v>435</v>
      </c>
      <c r="C88" s="142" t="s">
        <v>216</v>
      </c>
      <c r="D88" s="170" t="s">
        <v>392</v>
      </c>
      <c r="E88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</v>
      </c>
      <c r="F88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</v>
      </c>
      <c r="G88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</v>
      </c>
      <c r="H88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</v>
      </c>
      <c r="I88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</v>
      </c>
      <c r="J88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0</v>
      </c>
      <c r="K88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0</v>
      </c>
      <c r="L88" s="18">
        <f>IFERROR(VLOOKUP(Vertailu[[#This Row],[Y-tunnus]],'Suoritepäätös 2020'!$Q:$AC,COLUMN('Suoritepäätös 2020'!L:L),FALSE)-VLOOKUP(Vertailu[[#This Row],[Y-tunnus]],'Suoritepäätös 2020'!$B:$N,COLUMN('Suoritepäätös 2020'!F:F),FALSE),0)</f>
        <v>34231</v>
      </c>
      <c r="M88" s="18">
        <f>IFERROR(VLOOKUP(Vertailu[[#This Row],[Y-tunnus]],'1.2 Ohjaus-laskentataulu'!A:AY,COLUMN('1.2 Ohjaus-laskentataulu'!Z:Z),FALSE),0)</f>
        <v>0</v>
      </c>
      <c r="N88" s="18">
        <f>IFERROR(Vertailu[[#This Row],[Rahoitus pl. hark. kor. 2021 ilman alv, €]]-Vertailu[[#This Row],[Rahoitus pl. hark. kor. 2020 ilman alv, €]],0)</f>
        <v>-34231</v>
      </c>
      <c r="O88" s="43">
        <f>IFERROR(Vertailu[[#This Row],[Muutos, € 1]]/Vertailu[[#This Row],[Rahoitus pl. hark. kor. 2020 ilman alv, €]],0)</f>
        <v>-1</v>
      </c>
      <c r="P88" s="135">
        <f>IFERROR(VLOOKUP(Vertailu[[#This Row],[Y-tunnus]],'Suoritepäätös 2020'!$Q:$AC,COLUMN('Suoritepäätös 2020'!L:L),FALSE),0)</f>
        <v>34231</v>
      </c>
      <c r="Q88" s="138">
        <f>IFERROR(VLOOKUP(Vertailu[[#This Row],[Y-tunnus]],'1.2 Ohjaus-laskentataulu'!A:AY,COLUMN('1.2 Ohjaus-laskentataulu'!AV:AV),FALSE),0)</f>
        <v>0</v>
      </c>
      <c r="R88" s="18">
        <f>IFERROR(Vertailu[[#This Row],[Rahoitus ml. hark. kor. 
2021 ilman alv, €]]-Vertailu[[#This Row],[Rahoitus ml. hark. kor. 
2020 ilman alv, €]],0)</f>
        <v>-34231</v>
      </c>
      <c r="S88" s="16">
        <f>IFERROR(Vertailu[[#This Row],[Muutos, € 2]]/Vertailu[[#This Row],[Rahoitus ml. hark. kor. 
2020 ilman alv, €]],0)</f>
        <v>-1</v>
      </c>
      <c r="T88" s="138">
        <f>IFERROR(VLOOKUP(Vertailu[[#This Row],[Y-tunnus]],'Suoritepäätös 2020'!$Q:$AC,COLUMN('Suoritepäätös 2020'!L:L),FALSE)+VLOOKUP(Vertailu[[#This Row],[Y-tunnus]],'Suoritepäätös 2020'!$Q:$AC,COLUMN('Suoritepäätös 2020'!M:M),FALSE),0)</f>
        <v>50149</v>
      </c>
      <c r="U88" s="135">
        <f>IFERROR(VLOOKUP(Vertailu[[#This Row],[Y-tunnus]],'1.2 Ohjaus-laskentataulu'!A:AY,COLUMN('1.2 Ohjaus-laskentataulu'!AX:AX),FALSE),0)</f>
        <v>14089</v>
      </c>
      <c r="V88" s="141">
        <f>IFERROR(Vertailu[[#This Row],[Rahoitus ml. hark. kor. + alv 2021, €]]-Vertailu[[#This Row],[Rahoitus ml. hark. kor. + alv 2020, €]],0)</f>
        <v>-36060</v>
      </c>
      <c r="W88" s="43">
        <f>IFERROR(Vertailu[[#This Row],[Muutos, € 3]]/Vertailu[[#This Row],[Rahoitus ml. hark. kor. + alv 2020, €]],0)</f>
        <v>-0.71905720951564334</v>
      </c>
      <c r="X88" s="18">
        <f>IFERROR(VLOOKUP(Vertailu[[#This Row],[Y-tunnus]],'Suoritepäätös 2020'!$B:$N,COLUMN('Suoritepäätös 2020'!G:G),FALSE),0)</f>
        <v>34231</v>
      </c>
      <c r="Y88" s="18">
        <f>IFERROR(VLOOKUP(Vertailu[[#This Row],[Y-tunnus]],'1.2 Ohjaus-laskentataulu'!A:AY,COLUMN('1.2 Ohjaus-laskentataulu'!AS:AS),FALSE),0)</f>
        <v>0</v>
      </c>
      <c r="Z88" s="18">
        <f>Vertailu[[#This Row],[Perusrahoitus 2021, €]]-Vertailu[[#This Row],[Perusrahoitus 2020, €]]</f>
        <v>-34231</v>
      </c>
      <c r="AA88" s="43">
        <f>IFERROR(Vertailu[[#This Row],[Perusrahoituksen muutos, €]]/Vertailu[[#This Row],[Perusrahoitus 2020, €]],0)</f>
        <v>-1</v>
      </c>
      <c r="AB88" s="18">
        <f>IFERROR(VLOOKUP(Vertailu[[#This Row],[Y-tunnus]],'Suoritepäätös 2020'!$B:$N,COLUMN('Suoritepäätös 2020'!M:M),FALSE),0)</f>
        <v>0</v>
      </c>
      <c r="AC88" s="18">
        <f>IFERROR(VLOOKUP(Vertailu[[#This Row],[Y-tunnus]],'1.2 Ohjaus-laskentataulu'!A:AY,COLUMN('1.2 Ohjaus-laskentataulu'!O:O),FALSE),0)</f>
        <v>0</v>
      </c>
      <c r="AD88" s="18">
        <f>Vertailu[[#This Row],[Suoritusrahoitus 2021, €]]-Vertailu[[#This Row],[Suoritusrahoitus 2020, €]]</f>
        <v>0</v>
      </c>
      <c r="AE88" s="43">
        <f>IFERROR(Vertailu[[#This Row],[Suoritusrahoituksen muutos, €]]/Vertailu[[#This Row],[Suoritusrahoitus 2020, €]],0)</f>
        <v>0</v>
      </c>
      <c r="AF88" s="18">
        <f>IFERROR(VLOOKUP(Vertailu[[#This Row],[Y-tunnus]],'Suoritepäätös 2020'!$Q:$AC,COLUMN('Suoritepäätös 2020'!K:K),FALSE),0)</f>
        <v>0</v>
      </c>
      <c r="AG88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0</v>
      </c>
      <c r="AH88" s="18">
        <f>Vertailu[[#This Row],[Vaikuttavuusrahoitus 2021, €]]-Vertailu[[#This Row],[Vaikuttavuusrahoitus 2020, €]]</f>
        <v>0</v>
      </c>
      <c r="AI88" s="43">
        <f>IFERROR(Vertailu[[#This Row],[Vaikuttavuusrahoituksen muutos, €]]/Vertailu[[#This Row],[Vaikuttavuusrahoitus 2020, €]],0)</f>
        <v>0</v>
      </c>
    </row>
    <row r="89" spans="1:35" ht="12.75" customHeight="1" x14ac:dyDescent="0.25">
      <c r="A89" s="22" t="s">
        <v>299</v>
      </c>
      <c r="B89" s="236" t="s">
        <v>87</v>
      </c>
      <c r="C89" s="142" t="s">
        <v>222</v>
      </c>
      <c r="D89" s="170" t="s">
        <v>391</v>
      </c>
      <c r="E89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0.70932164183404989</v>
      </c>
      <c r="F89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0.71159041775359944</v>
      </c>
      <c r="G89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0.19839414743970907</v>
      </c>
      <c r="H89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9.0015434806691538E-2</v>
      </c>
      <c r="I89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7.1714775195745123E-2</v>
      </c>
      <c r="J89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4.9482002805373839E-3</v>
      </c>
      <c r="K89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1.3352459330409032E-2</v>
      </c>
      <c r="L89" s="18">
        <f>IFERROR(VLOOKUP(Vertailu[[#This Row],[Y-tunnus]],'Suoritepäätös 2020'!$Q:$AC,COLUMN('Suoritepäätös 2020'!L:L),FALSE)-VLOOKUP(Vertailu[[#This Row],[Y-tunnus]],'Suoritepäätös 2020'!$B:$N,COLUMN('Suoritepäätös 2020'!F:F),FALSE),0)</f>
        <v>14572907</v>
      </c>
      <c r="M89" s="18">
        <f>IFERROR(VLOOKUP(Vertailu[[#This Row],[Y-tunnus]],'1.2 Ohjaus-laskentataulu'!A:AY,COLUMN('1.2 Ohjaus-laskentataulu'!Z:Z),FALSE),0)</f>
        <v>15391821</v>
      </c>
      <c r="N89" s="18">
        <f>IFERROR(Vertailu[[#This Row],[Rahoitus pl. hark. kor. 2021 ilman alv, €]]-Vertailu[[#This Row],[Rahoitus pl. hark. kor. 2020 ilman alv, €]],0)</f>
        <v>818914</v>
      </c>
      <c r="O89" s="43">
        <f>IFERROR(Vertailu[[#This Row],[Muutos, € 1]]/Vertailu[[#This Row],[Rahoitus pl. hark. kor. 2020 ilman alv, €]],0)</f>
        <v>5.6194278876548105E-2</v>
      </c>
      <c r="P89" s="135">
        <f>IFERROR(VLOOKUP(Vertailu[[#This Row],[Y-tunnus]],'Suoritepäätös 2020'!$Q:$AC,COLUMN('Suoritepäätös 2020'!L:L),FALSE),0)</f>
        <v>14572907</v>
      </c>
      <c r="Q89" s="138">
        <f>IFERROR(VLOOKUP(Vertailu[[#This Row],[Y-tunnus]],'1.2 Ohjaus-laskentataulu'!A:AY,COLUMN('1.2 Ohjaus-laskentataulu'!AV:AV),FALSE),0)</f>
        <v>15426821</v>
      </c>
      <c r="R89" s="18">
        <f>IFERROR(Vertailu[[#This Row],[Rahoitus ml. hark. kor. 
2021 ilman alv, €]]-Vertailu[[#This Row],[Rahoitus ml. hark. kor. 
2020 ilman alv, €]],0)</f>
        <v>853914</v>
      </c>
      <c r="S89" s="16">
        <f>IFERROR(Vertailu[[#This Row],[Muutos, € 2]]/Vertailu[[#This Row],[Rahoitus ml. hark. kor. 
2020 ilman alv, €]],0)</f>
        <v>5.8595995980760734E-2</v>
      </c>
      <c r="T89" s="138">
        <f>IFERROR(VLOOKUP(Vertailu[[#This Row],[Y-tunnus]],'Suoritepäätös 2020'!$Q:$AC,COLUMN('Suoritepäätös 2020'!L:L),FALSE)+VLOOKUP(Vertailu[[#This Row],[Y-tunnus]],'Suoritepäätös 2020'!$Q:$AC,COLUMN('Suoritepäätös 2020'!M:M),FALSE),0)</f>
        <v>14572907</v>
      </c>
      <c r="U89" s="135">
        <f>IFERROR(VLOOKUP(Vertailu[[#This Row],[Y-tunnus]],'1.2 Ohjaus-laskentataulu'!A:AY,COLUMN('1.2 Ohjaus-laskentataulu'!AX:AX),FALSE),0)</f>
        <v>15426821</v>
      </c>
      <c r="V89" s="141">
        <f>IFERROR(Vertailu[[#This Row],[Rahoitus ml. hark. kor. + alv 2021, €]]-Vertailu[[#This Row],[Rahoitus ml. hark. kor. + alv 2020, €]],0)</f>
        <v>853914</v>
      </c>
      <c r="W89" s="43">
        <f>IFERROR(Vertailu[[#This Row],[Muutos, € 3]]/Vertailu[[#This Row],[Rahoitus ml. hark. kor. + alv 2020, €]],0)</f>
        <v>5.8595995980760734E-2</v>
      </c>
      <c r="X89" s="18">
        <f>IFERROR(VLOOKUP(Vertailu[[#This Row],[Y-tunnus]],'Suoritepäätös 2020'!$B:$N,COLUMN('Suoritepäätös 2020'!G:G),FALSE),0)</f>
        <v>10142321</v>
      </c>
      <c r="Y89" s="18">
        <f>IFERROR(VLOOKUP(Vertailu[[#This Row],[Y-tunnus]],'1.2 Ohjaus-laskentataulu'!A:AY,COLUMN('1.2 Ohjaus-laskentataulu'!AS:AS),FALSE),0)</f>
        <v>10977578</v>
      </c>
      <c r="Z89" s="18">
        <f>Vertailu[[#This Row],[Perusrahoitus 2021, €]]-Vertailu[[#This Row],[Perusrahoitus 2020, €]]</f>
        <v>835257</v>
      </c>
      <c r="AA89" s="43">
        <f>IFERROR(Vertailu[[#This Row],[Perusrahoituksen muutos, €]]/Vertailu[[#This Row],[Perusrahoitus 2020, €]],0)</f>
        <v>8.2353634833683534E-2</v>
      </c>
      <c r="AB89" s="18">
        <f>IFERROR(VLOOKUP(Vertailu[[#This Row],[Y-tunnus]],'Suoritepäätös 2020'!$B:$N,COLUMN('Suoritepäätös 2020'!M:M),FALSE),0)</f>
        <v>2895326</v>
      </c>
      <c r="AC89" s="18">
        <f>IFERROR(VLOOKUP(Vertailu[[#This Row],[Y-tunnus]],'1.2 Ohjaus-laskentataulu'!A:AY,COLUMN('1.2 Ohjaus-laskentataulu'!O:O),FALSE),0)</f>
        <v>3060591</v>
      </c>
      <c r="AD89" s="18">
        <f>Vertailu[[#This Row],[Suoritusrahoitus 2021, €]]-Vertailu[[#This Row],[Suoritusrahoitus 2020, €]]</f>
        <v>165265</v>
      </c>
      <c r="AE89" s="43">
        <f>IFERROR(Vertailu[[#This Row],[Suoritusrahoituksen muutos, €]]/Vertailu[[#This Row],[Suoritusrahoitus 2020, €]],0)</f>
        <v>5.7079928132445189E-2</v>
      </c>
      <c r="AF89" s="18">
        <f>IFERROR(VLOOKUP(Vertailu[[#This Row],[Y-tunnus]],'Suoritepäätös 2020'!$Q:$AC,COLUMN('Suoritepäätös 2020'!K:K),FALSE),0)</f>
        <v>1535260</v>
      </c>
      <c r="AG89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1388652</v>
      </c>
      <c r="AH89" s="18">
        <f>Vertailu[[#This Row],[Vaikuttavuusrahoitus 2021, €]]-Vertailu[[#This Row],[Vaikuttavuusrahoitus 2020, €]]</f>
        <v>-146608</v>
      </c>
      <c r="AI89" s="43">
        <f>IFERROR(Vertailu[[#This Row],[Vaikuttavuusrahoituksen muutos, €]]/Vertailu[[#This Row],[Vaikuttavuusrahoitus 2020, €]],0)</f>
        <v>-9.5493922853458049E-2</v>
      </c>
    </row>
    <row r="90" spans="1:35" ht="12.75" customHeight="1" x14ac:dyDescent="0.25">
      <c r="A90" s="22" t="s">
        <v>298</v>
      </c>
      <c r="B90" s="236" t="s">
        <v>88</v>
      </c>
      <c r="C90" s="142" t="s">
        <v>224</v>
      </c>
      <c r="D90" s="170" t="s">
        <v>393</v>
      </c>
      <c r="E90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0.62173914330453217</v>
      </c>
      <c r="F90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0.62173914330453217</v>
      </c>
      <c r="G90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0.29072648320323946</v>
      </c>
      <c r="H90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8.7534373492228409E-2</v>
      </c>
      <c r="I90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7.3622174269535545E-2</v>
      </c>
      <c r="J90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5.4168775696867982E-3</v>
      </c>
      <c r="K90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8.4953216530060712E-3</v>
      </c>
      <c r="L90" s="18">
        <f>IFERROR(VLOOKUP(Vertailu[[#This Row],[Y-tunnus]],'Suoritepäätös 2020'!$Q:$AC,COLUMN('Suoritepäätös 2020'!L:L),FALSE)-VLOOKUP(Vertailu[[#This Row],[Y-tunnus]],'Suoritepäätös 2020'!$B:$N,COLUMN('Suoritepäätös 2020'!F:F),FALSE),0)</f>
        <v>615751</v>
      </c>
      <c r="M90" s="18">
        <f>IFERROR(VLOOKUP(Vertailu[[#This Row],[Y-tunnus]],'1.2 Ohjaus-laskentataulu'!A:AY,COLUMN('1.2 Ohjaus-laskentataulu'!Z:Z),FALSE),0)</f>
        <v>675666</v>
      </c>
      <c r="N90" s="18">
        <f>IFERROR(Vertailu[[#This Row],[Rahoitus pl. hark. kor. 2021 ilman alv, €]]-Vertailu[[#This Row],[Rahoitus pl. hark. kor. 2020 ilman alv, €]],0)</f>
        <v>59915</v>
      </c>
      <c r="O90" s="43">
        <f>IFERROR(Vertailu[[#This Row],[Muutos, € 1]]/Vertailu[[#This Row],[Rahoitus pl. hark. kor. 2020 ilman alv, €]],0)</f>
        <v>9.7303942665135743E-2</v>
      </c>
      <c r="P90" s="135">
        <f>IFERROR(VLOOKUP(Vertailu[[#This Row],[Y-tunnus]],'Suoritepäätös 2020'!$Q:$AC,COLUMN('Suoritepäätös 2020'!L:L),FALSE),0)</f>
        <v>615751</v>
      </c>
      <c r="Q90" s="138">
        <f>IFERROR(VLOOKUP(Vertailu[[#This Row],[Y-tunnus]],'1.2 Ohjaus-laskentataulu'!A:AY,COLUMN('1.2 Ohjaus-laskentataulu'!AV:AV),FALSE),0)</f>
        <v>675666</v>
      </c>
      <c r="R90" s="18">
        <f>IFERROR(Vertailu[[#This Row],[Rahoitus ml. hark. kor. 
2021 ilman alv, €]]-Vertailu[[#This Row],[Rahoitus ml. hark. kor. 
2020 ilman alv, €]],0)</f>
        <v>59915</v>
      </c>
      <c r="S90" s="16">
        <f>IFERROR(Vertailu[[#This Row],[Muutos, € 2]]/Vertailu[[#This Row],[Rahoitus ml. hark. kor. 
2020 ilman alv, €]],0)</f>
        <v>9.7303942665135743E-2</v>
      </c>
      <c r="T90" s="138">
        <f>IFERROR(VLOOKUP(Vertailu[[#This Row],[Y-tunnus]],'Suoritepäätös 2020'!$Q:$AC,COLUMN('Suoritepäätös 2020'!L:L),FALSE)+VLOOKUP(Vertailu[[#This Row],[Y-tunnus]],'Suoritepäätös 2020'!$Q:$AC,COLUMN('Suoritepäätös 2020'!M:M),FALSE),0)</f>
        <v>615751</v>
      </c>
      <c r="U90" s="135">
        <f>IFERROR(VLOOKUP(Vertailu[[#This Row],[Y-tunnus]],'1.2 Ohjaus-laskentataulu'!A:AY,COLUMN('1.2 Ohjaus-laskentataulu'!AX:AX),FALSE),0)</f>
        <v>675666</v>
      </c>
      <c r="V90" s="141">
        <f>IFERROR(Vertailu[[#This Row],[Rahoitus ml. hark. kor. + alv 2021, €]]-Vertailu[[#This Row],[Rahoitus ml. hark. kor. + alv 2020, €]],0)</f>
        <v>59915</v>
      </c>
      <c r="W90" s="43">
        <f>IFERROR(Vertailu[[#This Row],[Muutos, € 3]]/Vertailu[[#This Row],[Rahoitus ml. hark. kor. + alv 2020, €]],0)</f>
        <v>9.7303942665135743E-2</v>
      </c>
      <c r="X90" s="18">
        <f>IFERROR(VLOOKUP(Vertailu[[#This Row],[Y-tunnus]],'Suoritepäätös 2020'!$B:$N,COLUMN('Suoritepäätös 2020'!G:G),FALSE),0)</f>
        <v>378308</v>
      </c>
      <c r="Y90" s="18">
        <f>IFERROR(VLOOKUP(Vertailu[[#This Row],[Y-tunnus]],'1.2 Ohjaus-laskentataulu'!A:AY,COLUMN('1.2 Ohjaus-laskentataulu'!AS:AS),FALSE),0)</f>
        <v>420088</v>
      </c>
      <c r="Z90" s="18">
        <f>Vertailu[[#This Row],[Perusrahoitus 2021, €]]-Vertailu[[#This Row],[Perusrahoitus 2020, €]]</f>
        <v>41780</v>
      </c>
      <c r="AA90" s="43">
        <f>IFERROR(Vertailu[[#This Row],[Perusrahoituksen muutos, €]]/Vertailu[[#This Row],[Perusrahoitus 2020, €]],0)</f>
        <v>0.1104391131036087</v>
      </c>
      <c r="AB90" s="18">
        <f>IFERROR(VLOOKUP(Vertailu[[#This Row],[Y-tunnus]],'Suoritepäätös 2020'!$B:$N,COLUMN('Suoritepäätös 2020'!M:M),FALSE),0)</f>
        <v>211228</v>
      </c>
      <c r="AC90" s="18">
        <f>IFERROR(VLOOKUP(Vertailu[[#This Row],[Y-tunnus]],'1.2 Ohjaus-laskentataulu'!A:AY,COLUMN('1.2 Ohjaus-laskentataulu'!O:O),FALSE),0)</f>
        <v>196434</v>
      </c>
      <c r="AD90" s="18">
        <f>Vertailu[[#This Row],[Suoritusrahoitus 2021, €]]-Vertailu[[#This Row],[Suoritusrahoitus 2020, €]]</f>
        <v>-14794</v>
      </c>
      <c r="AE90" s="43">
        <f>IFERROR(Vertailu[[#This Row],[Suoritusrahoituksen muutos, €]]/Vertailu[[#This Row],[Suoritusrahoitus 2020, €]],0)</f>
        <v>-7.0038063135569151E-2</v>
      </c>
      <c r="AF90" s="18">
        <f>IFERROR(VLOOKUP(Vertailu[[#This Row],[Y-tunnus]],'Suoritepäätös 2020'!$Q:$AC,COLUMN('Suoritepäätös 2020'!K:K),FALSE),0)</f>
        <v>26215</v>
      </c>
      <c r="AG90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59144</v>
      </c>
      <c r="AH90" s="18">
        <f>Vertailu[[#This Row],[Vaikuttavuusrahoitus 2021, €]]-Vertailu[[#This Row],[Vaikuttavuusrahoitus 2020, €]]</f>
        <v>32929</v>
      </c>
      <c r="AI90" s="43">
        <f>IFERROR(Vertailu[[#This Row],[Vaikuttavuusrahoituksen muutos, €]]/Vertailu[[#This Row],[Vaikuttavuusrahoitus 2020, €]],0)</f>
        <v>1.2561129124547015</v>
      </c>
    </row>
    <row r="91" spans="1:35" ht="12.75" customHeight="1" x14ac:dyDescent="0.25">
      <c r="A91" s="22" t="s">
        <v>294</v>
      </c>
      <c r="B91" s="236" t="s">
        <v>90</v>
      </c>
      <c r="C91" s="142" t="s">
        <v>216</v>
      </c>
      <c r="D91" s="170" t="s">
        <v>392</v>
      </c>
      <c r="E91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0.71045844164141814</v>
      </c>
      <c r="F91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0.71045844164141814</v>
      </c>
      <c r="G91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0.24318625852032941</v>
      </c>
      <c r="H91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4.6355299838252456E-2</v>
      </c>
      <c r="I91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3.1058219028371394E-2</v>
      </c>
      <c r="J91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3.9428066057563297E-3</v>
      </c>
      <c r="K91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1.135427420412473E-2</v>
      </c>
      <c r="L91" s="18">
        <f>IFERROR(VLOOKUP(Vertailu[[#This Row],[Y-tunnus]],'Suoritepäätös 2020'!$Q:$AC,COLUMN('Suoritepäätös 2020'!L:L),FALSE)-VLOOKUP(Vertailu[[#This Row],[Y-tunnus]],'Suoritepäätös 2020'!$B:$N,COLUMN('Suoritepäätös 2020'!F:F),FALSE),0)</f>
        <v>536165</v>
      </c>
      <c r="M91" s="18">
        <f>IFERROR(VLOOKUP(Vertailu[[#This Row],[Y-tunnus]],'1.2 Ohjaus-laskentataulu'!A:AY,COLUMN('1.2 Ohjaus-laskentataulu'!Z:Z),FALSE),0)</f>
        <v>594754</v>
      </c>
      <c r="N91" s="18">
        <f>IFERROR(Vertailu[[#This Row],[Rahoitus pl. hark. kor. 2021 ilman alv, €]]-Vertailu[[#This Row],[Rahoitus pl. hark. kor. 2020 ilman alv, €]],0)</f>
        <v>58589</v>
      </c>
      <c r="O91" s="43">
        <f>IFERROR(Vertailu[[#This Row],[Muutos, € 1]]/Vertailu[[#This Row],[Rahoitus pl. hark. kor. 2020 ilman alv, €]],0)</f>
        <v>0.10927419730866431</v>
      </c>
      <c r="P91" s="135">
        <f>IFERROR(VLOOKUP(Vertailu[[#This Row],[Y-tunnus]],'Suoritepäätös 2020'!$Q:$AC,COLUMN('Suoritepäätös 2020'!L:L),FALSE),0)</f>
        <v>536165</v>
      </c>
      <c r="Q91" s="138">
        <f>IFERROR(VLOOKUP(Vertailu[[#This Row],[Y-tunnus]],'1.2 Ohjaus-laskentataulu'!A:AY,COLUMN('1.2 Ohjaus-laskentataulu'!AV:AV),FALSE),0)</f>
        <v>594754</v>
      </c>
      <c r="R91" s="18">
        <f>IFERROR(Vertailu[[#This Row],[Rahoitus ml. hark. kor. 
2021 ilman alv, €]]-Vertailu[[#This Row],[Rahoitus ml. hark. kor. 
2020 ilman alv, €]],0)</f>
        <v>58589</v>
      </c>
      <c r="S91" s="16">
        <f>IFERROR(Vertailu[[#This Row],[Muutos, € 2]]/Vertailu[[#This Row],[Rahoitus ml. hark. kor. 
2020 ilman alv, €]],0)</f>
        <v>0.10927419730866431</v>
      </c>
      <c r="T91" s="138">
        <f>IFERROR(VLOOKUP(Vertailu[[#This Row],[Y-tunnus]],'Suoritepäätös 2020'!$Q:$AC,COLUMN('Suoritepäätös 2020'!L:L),FALSE)+VLOOKUP(Vertailu[[#This Row],[Y-tunnus]],'Suoritepäätös 2020'!$Q:$AC,COLUMN('Suoritepäätös 2020'!M:M),FALSE),0)</f>
        <v>580067</v>
      </c>
      <c r="U91" s="135">
        <f>IFERROR(VLOOKUP(Vertailu[[#This Row],[Y-tunnus]],'1.2 Ohjaus-laskentataulu'!A:AY,COLUMN('1.2 Ohjaus-laskentataulu'!AX:AX),FALSE),0)</f>
        <v>594754</v>
      </c>
      <c r="V91" s="141">
        <f>IFERROR(Vertailu[[#This Row],[Rahoitus ml. hark. kor. + alv 2021, €]]-Vertailu[[#This Row],[Rahoitus ml. hark. kor. + alv 2020, €]],0)</f>
        <v>14687</v>
      </c>
      <c r="W91" s="43">
        <f>IFERROR(Vertailu[[#This Row],[Muutos, € 3]]/Vertailu[[#This Row],[Rahoitus ml. hark. kor. + alv 2020, €]],0)</f>
        <v>2.5319488955586163E-2</v>
      </c>
      <c r="X91" s="18">
        <f>IFERROR(VLOOKUP(Vertailu[[#This Row],[Y-tunnus]],'Suoritepäätös 2020'!$B:$N,COLUMN('Suoritepäätös 2020'!G:G),FALSE),0)</f>
        <v>377718</v>
      </c>
      <c r="Y91" s="18">
        <f>IFERROR(VLOOKUP(Vertailu[[#This Row],[Y-tunnus]],'1.2 Ohjaus-laskentataulu'!A:AY,COLUMN('1.2 Ohjaus-laskentataulu'!AS:AS),FALSE),0)</f>
        <v>422548</v>
      </c>
      <c r="Z91" s="18">
        <f>Vertailu[[#This Row],[Perusrahoitus 2021, €]]-Vertailu[[#This Row],[Perusrahoitus 2020, €]]</f>
        <v>44830</v>
      </c>
      <c r="AA91" s="43">
        <f>IFERROR(Vertailu[[#This Row],[Perusrahoituksen muutos, €]]/Vertailu[[#This Row],[Perusrahoitus 2020, €]],0)</f>
        <v>0.11868642744057736</v>
      </c>
      <c r="AB91" s="18">
        <f>IFERROR(VLOOKUP(Vertailu[[#This Row],[Y-tunnus]],'Suoritepäätös 2020'!$B:$N,COLUMN('Suoritepäätös 2020'!M:M),FALSE),0)</f>
        <v>113196</v>
      </c>
      <c r="AC91" s="18">
        <f>IFERROR(VLOOKUP(Vertailu[[#This Row],[Y-tunnus]],'1.2 Ohjaus-laskentataulu'!A:AY,COLUMN('1.2 Ohjaus-laskentataulu'!O:O),FALSE),0)</f>
        <v>144636</v>
      </c>
      <c r="AD91" s="18">
        <f>Vertailu[[#This Row],[Suoritusrahoitus 2021, €]]-Vertailu[[#This Row],[Suoritusrahoitus 2020, €]]</f>
        <v>31440</v>
      </c>
      <c r="AE91" s="43">
        <f>IFERROR(Vertailu[[#This Row],[Suoritusrahoituksen muutos, €]]/Vertailu[[#This Row],[Suoritusrahoitus 2020, €]],0)</f>
        <v>0.27774833032969365</v>
      </c>
      <c r="AF91" s="18">
        <f>IFERROR(VLOOKUP(Vertailu[[#This Row],[Y-tunnus]],'Suoritepäätös 2020'!$Q:$AC,COLUMN('Suoritepäätös 2020'!K:K),FALSE),0)</f>
        <v>45251</v>
      </c>
      <c r="AG91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27570</v>
      </c>
      <c r="AH91" s="18">
        <f>Vertailu[[#This Row],[Vaikuttavuusrahoitus 2021, €]]-Vertailu[[#This Row],[Vaikuttavuusrahoitus 2020, €]]</f>
        <v>-17681</v>
      </c>
      <c r="AI91" s="43">
        <f>IFERROR(Vertailu[[#This Row],[Vaikuttavuusrahoituksen muutos, €]]/Vertailu[[#This Row],[Vaikuttavuusrahoitus 2020, €]],0)</f>
        <v>-0.39073169653709311</v>
      </c>
    </row>
    <row r="92" spans="1:35" ht="12.75" customHeight="1" x14ac:dyDescent="0.25">
      <c r="A92" s="22" t="s">
        <v>293</v>
      </c>
      <c r="B92" s="236" t="s">
        <v>91</v>
      </c>
      <c r="C92" s="142" t="s">
        <v>216</v>
      </c>
      <c r="D92" s="170" t="s">
        <v>392</v>
      </c>
      <c r="E92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0.54543378222913985</v>
      </c>
      <c r="F92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0.54543378222913985</v>
      </c>
      <c r="G92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0.24433099862398772</v>
      </c>
      <c r="H92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0.2102352191468724</v>
      </c>
      <c r="I92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0.15879548171708285</v>
      </c>
      <c r="J92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1.1484627010444158E-2</v>
      </c>
      <c r="K92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3.995511041934538E-2</v>
      </c>
      <c r="L92" s="18">
        <f>IFERROR(VLOOKUP(Vertailu[[#This Row],[Y-tunnus]],'Suoritepäätös 2020'!$Q:$AC,COLUMN('Suoritepäätös 2020'!L:L),FALSE)-VLOOKUP(Vertailu[[#This Row],[Y-tunnus]],'Suoritepäätös 2020'!$B:$N,COLUMN('Suoritepäätös 2020'!F:F),FALSE),0)</f>
        <v>735708</v>
      </c>
      <c r="M92" s="18">
        <f>IFERROR(VLOOKUP(Vertailu[[#This Row],[Y-tunnus]],'1.2 Ohjaus-laskentataulu'!A:AY,COLUMN('1.2 Ohjaus-laskentataulu'!Z:Z),FALSE),0)</f>
        <v>709296</v>
      </c>
      <c r="N92" s="18">
        <f>IFERROR(Vertailu[[#This Row],[Rahoitus pl. hark. kor. 2021 ilman alv, €]]-Vertailu[[#This Row],[Rahoitus pl. hark. kor. 2020 ilman alv, €]],0)</f>
        <v>-26412</v>
      </c>
      <c r="O92" s="43">
        <f>IFERROR(Vertailu[[#This Row],[Muutos, € 1]]/Vertailu[[#This Row],[Rahoitus pl. hark. kor. 2020 ilman alv, €]],0)</f>
        <v>-3.5900112544650864E-2</v>
      </c>
      <c r="P92" s="135">
        <f>IFERROR(VLOOKUP(Vertailu[[#This Row],[Y-tunnus]],'Suoritepäätös 2020'!$Q:$AC,COLUMN('Suoritepäätös 2020'!L:L),FALSE),0)</f>
        <v>735708</v>
      </c>
      <c r="Q92" s="138">
        <f>IFERROR(VLOOKUP(Vertailu[[#This Row],[Y-tunnus]],'1.2 Ohjaus-laskentataulu'!A:AY,COLUMN('1.2 Ohjaus-laskentataulu'!AV:AV),FALSE),0)</f>
        <v>709296</v>
      </c>
      <c r="R92" s="18">
        <f>IFERROR(Vertailu[[#This Row],[Rahoitus ml. hark. kor. 
2021 ilman alv, €]]-Vertailu[[#This Row],[Rahoitus ml. hark. kor. 
2020 ilman alv, €]],0)</f>
        <v>-26412</v>
      </c>
      <c r="S92" s="16">
        <f>IFERROR(Vertailu[[#This Row],[Muutos, € 2]]/Vertailu[[#This Row],[Rahoitus ml. hark. kor. 
2020 ilman alv, €]],0)</f>
        <v>-3.5900112544650864E-2</v>
      </c>
      <c r="T92" s="138">
        <f>IFERROR(VLOOKUP(Vertailu[[#This Row],[Y-tunnus]],'Suoritepäätös 2020'!$Q:$AC,COLUMN('Suoritepäätös 2020'!L:L),FALSE)+VLOOKUP(Vertailu[[#This Row],[Y-tunnus]],'Suoritepäätös 2020'!$Q:$AC,COLUMN('Suoritepäätös 2020'!M:M),FALSE),0)</f>
        <v>772274</v>
      </c>
      <c r="U92" s="135">
        <f>IFERROR(VLOOKUP(Vertailu[[#This Row],[Y-tunnus]],'1.2 Ohjaus-laskentataulu'!A:AY,COLUMN('1.2 Ohjaus-laskentataulu'!AX:AX),FALSE),0)</f>
        <v>744499</v>
      </c>
      <c r="V92" s="141">
        <f>IFERROR(Vertailu[[#This Row],[Rahoitus ml. hark. kor. + alv 2021, €]]-Vertailu[[#This Row],[Rahoitus ml. hark. kor. + alv 2020, €]],0)</f>
        <v>-27775</v>
      </c>
      <c r="W92" s="43">
        <f>IFERROR(Vertailu[[#This Row],[Muutos, € 3]]/Vertailu[[#This Row],[Rahoitus ml. hark. kor. + alv 2020, €]],0)</f>
        <v>-3.5965214418716675E-2</v>
      </c>
      <c r="X92" s="18">
        <f>IFERROR(VLOOKUP(Vertailu[[#This Row],[Y-tunnus]],'Suoritepäätös 2020'!$B:$N,COLUMN('Suoritepäätös 2020'!G:G),FALSE),0)</f>
        <v>412539</v>
      </c>
      <c r="Y92" s="18">
        <f>IFERROR(VLOOKUP(Vertailu[[#This Row],[Y-tunnus]],'1.2 Ohjaus-laskentataulu'!A:AY,COLUMN('1.2 Ohjaus-laskentataulu'!AS:AS),FALSE),0)</f>
        <v>386874</v>
      </c>
      <c r="Z92" s="18">
        <f>Vertailu[[#This Row],[Perusrahoitus 2021, €]]-Vertailu[[#This Row],[Perusrahoitus 2020, €]]</f>
        <v>-25665</v>
      </c>
      <c r="AA92" s="43">
        <f>IFERROR(Vertailu[[#This Row],[Perusrahoituksen muutos, €]]/Vertailu[[#This Row],[Perusrahoitus 2020, €]],0)</f>
        <v>-6.2212299928006809E-2</v>
      </c>
      <c r="AB92" s="18">
        <f>IFERROR(VLOOKUP(Vertailu[[#This Row],[Y-tunnus]],'Suoritepäätös 2020'!$B:$N,COLUMN('Suoritepäätös 2020'!M:M),FALSE),0)</f>
        <v>177881</v>
      </c>
      <c r="AC92" s="18">
        <f>IFERROR(VLOOKUP(Vertailu[[#This Row],[Y-tunnus]],'1.2 Ohjaus-laskentataulu'!A:AY,COLUMN('1.2 Ohjaus-laskentataulu'!O:O),FALSE),0)</f>
        <v>173303</v>
      </c>
      <c r="AD92" s="18">
        <f>Vertailu[[#This Row],[Suoritusrahoitus 2021, €]]-Vertailu[[#This Row],[Suoritusrahoitus 2020, €]]</f>
        <v>-4578</v>
      </c>
      <c r="AE92" s="43">
        <f>IFERROR(Vertailu[[#This Row],[Suoritusrahoituksen muutos, €]]/Vertailu[[#This Row],[Suoritusrahoitus 2020, €]],0)</f>
        <v>-2.5736306856831252E-2</v>
      </c>
      <c r="AF92" s="18">
        <f>IFERROR(VLOOKUP(Vertailu[[#This Row],[Y-tunnus]],'Suoritepäätös 2020'!$Q:$AC,COLUMN('Suoritepäätös 2020'!K:K),FALSE),0)</f>
        <v>145288</v>
      </c>
      <c r="AG92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149119</v>
      </c>
      <c r="AH92" s="18">
        <f>Vertailu[[#This Row],[Vaikuttavuusrahoitus 2021, €]]-Vertailu[[#This Row],[Vaikuttavuusrahoitus 2020, €]]</f>
        <v>3831</v>
      </c>
      <c r="AI92" s="43">
        <f>IFERROR(Vertailu[[#This Row],[Vaikuttavuusrahoituksen muutos, €]]/Vertailu[[#This Row],[Vaikuttavuusrahoitus 2020, €]],0)</f>
        <v>2.6368316722647431E-2</v>
      </c>
    </row>
    <row r="93" spans="1:35" ht="12.75" customHeight="1" x14ac:dyDescent="0.25">
      <c r="A93" s="22" t="s">
        <v>292</v>
      </c>
      <c r="B93" s="236" t="s">
        <v>92</v>
      </c>
      <c r="C93" s="142" t="s">
        <v>312</v>
      </c>
      <c r="D93" s="170" t="s">
        <v>392</v>
      </c>
      <c r="E93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0.53287997713966084</v>
      </c>
      <c r="F93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0.54807967071383845</v>
      </c>
      <c r="G93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0.19723122381852781</v>
      </c>
      <c r="H93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0.25468910546763379</v>
      </c>
      <c r="I93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0.17771785720799868</v>
      </c>
      <c r="J93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1.9546805936392322E-2</v>
      </c>
      <c r="K93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5.7424442323242765E-2</v>
      </c>
      <c r="L93" s="18">
        <f>IFERROR(VLOOKUP(Vertailu[[#This Row],[Y-tunnus]],'Suoritepäätös 2020'!$Q:$AC,COLUMN('Suoritepäätös 2020'!L:L),FALSE)-VLOOKUP(Vertailu[[#This Row],[Y-tunnus]],'Suoritepäätös 2020'!$B:$N,COLUMN('Suoritepäätös 2020'!F:F),FALSE),0)</f>
        <v>671383</v>
      </c>
      <c r="M93" s="18">
        <f>IFERROR(VLOOKUP(Vertailu[[#This Row],[Y-tunnus]],'1.2 Ohjaus-laskentataulu'!A:AY,COLUMN('1.2 Ohjaus-laskentataulu'!Z:Z),FALSE),0)</f>
        <v>647908</v>
      </c>
      <c r="N93" s="18">
        <f>IFERROR(Vertailu[[#This Row],[Rahoitus pl. hark. kor. 2021 ilman alv, €]]-Vertailu[[#This Row],[Rahoitus pl. hark. kor. 2020 ilman alv, €]],0)</f>
        <v>-23475</v>
      </c>
      <c r="O93" s="43">
        <f>IFERROR(Vertailu[[#This Row],[Muutos, € 1]]/Vertailu[[#This Row],[Rahoitus pl. hark. kor. 2020 ilman alv, €]],0)</f>
        <v>-3.4965139123272412E-2</v>
      </c>
      <c r="P93" s="135">
        <f>IFERROR(VLOOKUP(Vertailu[[#This Row],[Y-tunnus]],'Suoritepäätös 2020'!$Q:$AC,COLUMN('Suoritepäätös 2020'!L:L),FALSE),0)</f>
        <v>671383</v>
      </c>
      <c r="Q93" s="138">
        <f>IFERROR(VLOOKUP(Vertailu[[#This Row],[Y-tunnus]],'1.2 Ohjaus-laskentataulu'!A:AY,COLUMN('1.2 Ohjaus-laskentataulu'!AV:AV),FALSE),0)</f>
        <v>657908</v>
      </c>
      <c r="R93" s="18">
        <f>IFERROR(Vertailu[[#This Row],[Rahoitus ml. hark. kor. 
2021 ilman alv, €]]-Vertailu[[#This Row],[Rahoitus ml. hark. kor. 
2020 ilman alv, €]],0)</f>
        <v>-13475</v>
      </c>
      <c r="S93" s="16">
        <f>IFERROR(Vertailu[[#This Row],[Muutos, € 2]]/Vertailu[[#This Row],[Rahoitus ml. hark. kor. 
2020 ilman alv, €]],0)</f>
        <v>-2.007051116873677E-2</v>
      </c>
      <c r="T93" s="138">
        <f>IFERROR(VLOOKUP(Vertailu[[#This Row],[Y-tunnus]],'Suoritepäätös 2020'!$Q:$AC,COLUMN('Suoritepäätös 2020'!L:L),FALSE)+VLOOKUP(Vertailu[[#This Row],[Y-tunnus]],'Suoritepäätös 2020'!$Q:$AC,COLUMN('Suoritepäätös 2020'!M:M),FALSE),0)</f>
        <v>693836</v>
      </c>
      <c r="U93" s="135">
        <f>IFERROR(VLOOKUP(Vertailu[[#This Row],[Y-tunnus]],'1.2 Ohjaus-laskentataulu'!A:AY,COLUMN('1.2 Ohjaus-laskentataulu'!AX:AX),FALSE),0)</f>
        <v>685731</v>
      </c>
      <c r="V93" s="141">
        <f>IFERROR(Vertailu[[#This Row],[Rahoitus ml. hark. kor. + alv 2021, €]]-Vertailu[[#This Row],[Rahoitus ml. hark. kor. + alv 2020, €]],0)</f>
        <v>-8105</v>
      </c>
      <c r="W93" s="43">
        <f>IFERROR(Vertailu[[#This Row],[Muutos, € 3]]/Vertailu[[#This Row],[Rahoitus ml. hark. kor. + alv 2020, €]],0)</f>
        <v>-1.1681434805919554E-2</v>
      </c>
      <c r="X93" s="18">
        <f>IFERROR(VLOOKUP(Vertailu[[#This Row],[Y-tunnus]],'Suoritepäätös 2020'!$B:$N,COLUMN('Suoritepäätös 2020'!G:G),FALSE),0)</f>
        <v>326372</v>
      </c>
      <c r="Y93" s="18">
        <f>IFERROR(VLOOKUP(Vertailu[[#This Row],[Y-tunnus]],'1.2 Ohjaus-laskentataulu'!A:AY,COLUMN('1.2 Ohjaus-laskentataulu'!AS:AS),FALSE),0)</f>
        <v>360586</v>
      </c>
      <c r="Z93" s="18">
        <f>Vertailu[[#This Row],[Perusrahoitus 2021, €]]-Vertailu[[#This Row],[Perusrahoitus 2020, €]]</f>
        <v>34214</v>
      </c>
      <c r="AA93" s="43">
        <f>IFERROR(Vertailu[[#This Row],[Perusrahoituksen muutos, €]]/Vertailu[[#This Row],[Perusrahoitus 2020, €]],0)</f>
        <v>0.10483129680242177</v>
      </c>
      <c r="AB93" s="18">
        <f>IFERROR(VLOOKUP(Vertailu[[#This Row],[Y-tunnus]],'Suoritepäätös 2020'!$B:$N,COLUMN('Suoritepäätös 2020'!M:M),FALSE),0)</f>
        <v>131212</v>
      </c>
      <c r="AC93" s="18">
        <f>IFERROR(VLOOKUP(Vertailu[[#This Row],[Y-tunnus]],'1.2 Ohjaus-laskentataulu'!A:AY,COLUMN('1.2 Ohjaus-laskentataulu'!O:O),FALSE),0)</f>
        <v>129760</v>
      </c>
      <c r="AD93" s="18">
        <f>Vertailu[[#This Row],[Suoritusrahoitus 2021, €]]-Vertailu[[#This Row],[Suoritusrahoitus 2020, €]]</f>
        <v>-1452</v>
      </c>
      <c r="AE93" s="43">
        <f>IFERROR(Vertailu[[#This Row],[Suoritusrahoituksen muutos, €]]/Vertailu[[#This Row],[Suoritusrahoitus 2020, €]],0)</f>
        <v>-1.1066061031003263E-2</v>
      </c>
      <c r="AF93" s="18">
        <f>IFERROR(VLOOKUP(Vertailu[[#This Row],[Y-tunnus]],'Suoritepäätös 2020'!$Q:$AC,COLUMN('Suoritepäätös 2020'!K:K),FALSE),0)</f>
        <v>213799</v>
      </c>
      <c r="AG93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167562</v>
      </c>
      <c r="AH93" s="18">
        <f>Vertailu[[#This Row],[Vaikuttavuusrahoitus 2021, €]]-Vertailu[[#This Row],[Vaikuttavuusrahoitus 2020, €]]</f>
        <v>-46237</v>
      </c>
      <c r="AI93" s="43">
        <f>IFERROR(Vertailu[[#This Row],[Vaikuttavuusrahoituksen muutos, €]]/Vertailu[[#This Row],[Vaikuttavuusrahoitus 2020, €]],0)</f>
        <v>-0.21626387401250707</v>
      </c>
    </row>
    <row r="94" spans="1:35" ht="12.75" customHeight="1" x14ac:dyDescent="0.25">
      <c r="A94" s="22" t="s">
        <v>291</v>
      </c>
      <c r="B94" s="236" t="s">
        <v>93</v>
      </c>
      <c r="C94" s="142" t="s">
        <v>232</v>
      </c>
      <c r="D94" s="170" t="s">
        <v>391</v>
      </c>
      <c r="E94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0.71507964076152741</v>
      </c>
      <c r="F94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0.71507964076152741</v>
      </c>
      <c r="G94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0.20043659406775452</v>
      </c>
      <c r="H94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8.4483765170718039E-2</v>
      </c>
      <c r="I94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6.4846824419997728E-2</v>
      </c>
      <c r="J94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6.5544303116852921E-3</v>
      </c>
      <c r="K94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1.308251043903502E-2</v>
      </c>
      <c r="L94" s="18">
        <f>IFERROR(VLOOKUP(Vertailu[[#This Row],[Y-tunnus]],'Suoritepäätös 2020'!$Q:$AC,COLUMN('Suoritepäätös 2020'!L:L),FALSE)-VLOOKUP(Vertailu[[#This Row],[Y-tunnus]],'Suoritepäätös 2020'!$B:$N,COLUMN('Suoritepäätös 2020'!F:F),FALSE),0)</f>
        <v>10458043</v>
      </c>
      <c r="M94" s="18">
        <f>IFERROR(VLOOKUP(Vertailu[[#This Row],[Y-tunnus]],'1.2 Ohjaus-laskentataulu'!A:AY,COLUMN('1.2 Ohjaus-laskentataulu'!Z:Z),FALSE),0)</f>
        <v>11233318</v>
      </c>
      <c r="N94" s="18">
        <f>IFERROR(Vertailu[[#This Row],[Rahoitus pl. hark. kor. 2021 ilman alv, €]]-Vertailu[[#This Row],[Rahoitus pl. hark. kor. 2020 ilman alv, €]],0)</f>
        <v>775275</v>
      </c>
      <c r="O94" s="43">
        <f>IFERROR(Vertailu[[#This Row],[Muutos, € 1]]/Vertailu[[#This Row],[Rahoitus pl. hark. kor. 2020 ilman alv, €]],0)</f>
        <v>7.4131938451582197E-2</v>
      </c>
      <c r="P94" s="135">
        <f>IFERROR(VLOOKUP(Vertailu[[#This Row],[Y-tunnus]],'Suoritepäätös 2020'!$Q:$AC,COLUMN('Suoritepäätös 2020'!L:L),FALSE),0)</f>
        <v>10483043</v>
      </c>
      <c r="Q94" s="138">
        <f>IFERROR(VLOOKUP(Vertailu[[#This Row],[Y-tunnus]],'1.2 Ohjaus-laskentataulu'!A:AY,COLUMN('1.2 Ohjaus-laskentataulu'!AV:AV),FALSE),0)</f>
        <v>11233318</v>
      </c>
      <c r="R94" s="18">
        <f>IFERROR(Vertailu[[#This Row],[Rahoitus ml. hark. kor. 
2021 ilman alv, €]]-Vertailu[[#This Row],[Rahoitus ml. hark. kor. 
2020 ilman alv, €]],0)</f>
        <v>750275</v>
      </c>
      <c r="S94" s="16">
        <f>IFERROR(Vertailu[[#This Row],[Muutos, € 2]]/Vertailu[[#This Row],[Rahoitus ml. hark. kor. 
2020 ilman alv, €]],0)</f>
        <v>7.1570344603184399E-2</v>
      </c>
      <c r="T94" s="138">
        <f>IFERROR(VLOOKUP(Vertailu[[#This Row],[Y-tunnus]],'Suoritepäätös 2020'!$Q:$AC,COLUMN('Suoritepäätös 2020'!L:L),FALSE)+VLOOKUP(Vertailu[[#This Row],[Y-tunnus]],'Suoritepäätös 2020'!$Q:$AC,COLUMN('Suoritepäätös 2020'!M:M),FALSE),0)</f>
        <v>10483043</v>
      </c>
      <c r="U94" s="135">
        <f>IFERROR(VLOOKUP(Vertailu[[#This Row],[Y-tunnus]],'1.2 Ohjaus-laskentataulu'!A:AY,COLUMN('1.2 Ohjaus-laskentataulu'!AX:AX),FALSE),0)</f>
        <v>11233318</v>
      </c>
      <c r="V94" s="141">
        <f>IFERROR(Vertailu[[#This Row],[Rahoitus ml. hark. kor. + alv 2021, €]]-Vertailu[[#This Row],[Rahoitus ml. hark. kor. + alv 2020, €]],0)</f>
        <v>750275</v>
      </c>
      <c r="W94" s="43">
        <f>IFERROR(Vertailu[[#This Row],[Muutos, € 3]]/Vertailu[[#This Row],[Rahoitus ml. hark. kor. + alv 2020, €]],0)</f>
        <v>7.1570344603184399E-2</v>
      </c>
      <c r="X94" s="18">
        <f>IFERROR(VLOOKUP(Vertailu[[#This Row],[Y-tunnus]],'Suoritepäätös 2020'!$B:$N,COLUMN('Suoritepäätös 2020'!G:G),FALSE),0)</f>
        <v>7355091</v>
      </c>
      <c r="Y94" s="18">
        <f>IFERROR(VLOOKUP(Vertailu[[#This Row],[Y-tunnus]],'1.2 Ohjaus-laskentataulu'!A:AY,COLUMN('1.2 Ohjaus-laskentataulu'!AS:AS),FALSE),0)</f>
        <v>8032717</v>
      </c>
      <c r="Z94" s="18">
        <f>Vertailu[[#This Row],[Perusrahoitus 2021, €]]-Vertailu[[#This Row],[Perusrahoitus 2020, €]]</f>
        <v>677626</v>
      </c>
      <c r="AA94" s="43">
        <f>IFERROR(Vertailu[[#This Row],[Perusrahoituksen muutos, €]]/Vertailu[[#This Row],[Perusrahoitus 2020, €]],0)</f>
        <v>9.2130199340837521E-2</v>
      </c>
      <c r="AB94" s="18">
        <f>IFERROR(VLOOKUP(Vertailu[[#This Row],[Y-tunnus]],'Suoritepäätös 2020'!$B:$N,COLUMN('Suoritepäätös 2020'!M:M),FALSE),0)</f>
        <v>2388428</v>
      </c>
      <c r="AC94" s="18">
        <f>IFERROR(VLOOKUP(Vertailu[[#This Row],[Y-tunnus]],'1.2 Ohjaus-laskentataulu'!A:AY,COLUMN('1.2 Ohjaus-laskentataulu'!O:O),FALSE),0)</f>
        <v>2251568</v>
      </c>
      <c r="AD94" s="18">
        <f>Vertailu[[#This Row],[Suoritusrahoitus 2021, €]]-Vertailu[[#This Row],[Suoritusrahoitus 2020, €]]</f>
        <v>-136860</v>
      </c>
      <c r="AE94" s="43">
        <f>IFERROR(Vertailu[[#This Row],[Suoritusrahoituksen muutos, €]]/Vertailu[[#This Row],[Suoritusrahoitus 2020, €]],0)</f>
        <v>-5.7301287708903095E-2</v>
      </c>
      <c r="AF94" s="18">
        <f>IFERROR(VLOOKUP(Vertailu[[#This Row],[Y-tunnus]],'Suoritepäätös 2020'!$Q:$AC,COLUMN('Suoritepäätös 2020'!K:K),FALSE),0)</f>
        <v>739524</v>
      </c>
      <c r="AG94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949033</v>
      </c>
      <c r="AH94" s="18">
        <f>Vertailu[[#This Row],[Vaikuttavuusrahoitus 2021, €]]-Vertailu[[#This Row],[Vaikuttavuusrahoitus 2020, €]]</f>
        <v>209509</v>
      </c>
      <c r="AI94" s="43">
        <f>IFERROR(Vertailu[[#This Row],[Vaikuttavuusrahoituksen muutos, €]]/Vertailu[[#This Row],[Vaikuttavuusrahoitus 2020, €]],0)</f>
        <v>0.28330250269092011</v>
      </c>
    </row>
    <row r="95" spans="1:35" ht="12.75" customHeight="1" x14ac:dyDescent="0.25">
      <c r="A95" s="22" t="s">
        <v>290</v>
      </c>
      <c r="B95" s="236" t="s">
        <v>94</v>
      </c>
      <c r="C95" s="142" t="s">
        <v>216</v>
      </c>
      <c r="D95" s="170" t="s">
        <v>392</v>
      </c>
      <c r="E95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0.62012708272262562</v>
      </c>
      <c r="F95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0.63122900481635669</v>
      </c>
      <c r="G95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0.23938062376639074</v>
      </c>
      <c r="H95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0.1293903714172526</v>
      </c>
      <c r="I95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9.1458287262397436E-2</v>
      </c>
      <c r="J95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7.8971400387473408E-3</v>
      </c>
      <c r="K95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3.0034944116107819E-2</v>
      </c>
      <c r="L95" s="18">
        <f>IFERROR(VLOOKUP(Vertailu[[#This Row],[Y-tunnus]],'Suoritepäätös 2020'!$Q:$AC,COLUMN('Suoritepäätös 2020'!L:L),FALSE)-VLOOKUP(Vertailu[[#This Row],[Y-tunnus]],'Suoritepäätös 2020'!$B:$N,COLUMN('Suoritepäätös 2020'!F:F),FALSE),0)</f>
        <v>12258046</v>
      </c>
      <c r="M95" s="18">
        <f>IFERROR(VLOOKUP(Vertailu[[#This Row],[Y-tunnus]],'1.2 Ohjaus-laskentataulu'!A:AY,COLUMN('1.2 Ohjaus-laskentataulu'!Z:Z),FALSE),0)</f>
        <v>12114131</v>
      </c>
      <c r="N95" s="18">
        <f>IFERROR(Vertailu[[#This Row],[Rahoitus pl. hark. kor. 2021 ilman alv, €]]-Vertailu[[#This Row],[Rahoitus pl. hark. kor. 2020 ilman alv, €]],0)</f>
        <v>-143915</v>
      </c>
      <c r="O95" s="43">
        <f>IFERROR(Vertailu[[#This Row],[Muutos, € 1]]/Vertailu[[#This Row],[Rahoitus pl. hark. kor. 2020 ilman alv, €]],0)</f>
        <v>-1.1740451944787938E-2</v>
      </c>
      <c r="P95" s="135">
        <f>IFERROR(VLOOKUP(Vertailu[[#This Row],[Y-tunnus]],'Suoritepäätös 2020'!$Q:$AC,COLUMN('Suoritepäätös 2020'!L:L),FALSE),0)</f>
        <v>12313046</v>
      </c>
      <c r="Q95" s="138">
        <f>IFERROR(VLOOKUP(Vertailu[[#This Row],[Y-tunnus]],'1.2 Ohjaus-laskentataulu'!A:AY,COLUMN('1.2 Ohjaus-laskentataulu'!AV:AV),FALSE),0)</f>
        <v>12250131</v>
      </c>
      <c r="R95" s="18">
        <f>IFERROR(Vertailu[[#This Row],[Rahoitus ml. hark. kor. 
2021 ilman alv, €]]-Vertailu[[#This Row],[Rahoitus ml. hark. kor. 
2020 ilman alv, €]],0)</f>
        <v>-62915</v>
      </c>
      <c r="S95" s="16">
        <f>IFERROR(Vertailu[[#This Row],[Muutos, € 2]]/Vertailu[[#This Row],[Rahoitus ml. hark. kor. 
2020 ilman alv, €]],0)</f>
        <v>-5.1096211286792885E-3</v>
      </c>
      <c r="T95" s="138">
        <f>IFERROR(VLOOKUP(Vertailu[[#This Row],[Y-tunnus]],'Suoritepäätös 2020'!$Q:$AC,COLUMN('Suoritepäätös 2020'!L:L),FALSE)+VLOOKUP(Vertailu[[#This Row],[Y-tunnus]],'Suoritepäätös 2020'!$Q:$AC,COLUMN('Suoritepäätös 2020'!M:M),FALSE),0)</f>
        <v>13029056</v>
      </c>
      <c r="U95" s="135">
        <f>IFERROR(VLOOKUP(Vertailu[[#This Row],[Y-tunnus]],'1.2 Ohjaus-laskentataulu'!A:AY,COLUMN('1.2 Ohjaus-laskentataulu'!AX:AX),FALSE),0)</f>
        <v>12946265</v>
      </c>
      <c r="V95" s="141">
        <f>IFERROR(Vertailu[[#This Row],[Rahoitus ml. hark. kor. + alv 2021, €]]-Vertailu[[#This Row],[Rahoitus ml. hark. kor. + alv 2020, €]],0)</f>
        <v>-82791</v>
      </c>
      <c r="W95" s="43">
        <f>IFERROR(Vertailu[[#This Row],[Muutos, € 3]]/Vertailu[[#This Row],[Rahoitus ml. hark. kor. + alv 2020, €]],0)</f>
        <v>-6.3543360317125045E-3</v>
      </c>
      <c r="X95" s="18">
        <f>IFERROR(VLOOKUP(Vertailu[[#This Row],[Y-tunnus]],'Suoritepäätös 2020'!$B:$N,COLUMN('Suoritepäätös 2020'!G:G),FALSE),0)</f>
        <v>7437618</v>
      </c>
      <c r="Y95" s="18">
        <f>IFERROR(VLOOKUP(Vertailu[[#This Row],[Y-tunnus]],'1.2 Ohjaus-laskentataulu'!A:AY,COLUMN('1.2 Ohjaus-laskentataulu'!AS:AS),FALSE),0)</f>
        <v>7732638</v>
      </c>
      <c r="Z95" s="18">
        <f>Vertailu[[#This Row],[Perusrahoitus 2021, €]]-Vertailu[[#This Row],[Perusrahoitus 2020, €]]</f>
        <v>295020</v>
      </c>
      <c r="AA95" s="43">
        <f>IFERROR(Vertailu[[#This Row],[Perusrahoituksen muutos, €]]/Vertailu[[#This Row],[Perusrahoitus 2020, €]],0)</f>
        <v>3.9665925300277592E-2</v>
      </c>
      <c r="AB95" s="18">
        <f>IFERROR(VLOOKUP(Vertailu[[#This Row],[Y-tunnus]],'Suoritepäätös 2020'!$B:$N,COLUMN('Suoritepäätös 2020'!M:M),FALSE),0)</f>
        <v>3018687</v>
      </c>
      <c r="AC95" s="18">
        <f>IFERROR(VLOOKUP(Vertailu[[#This Row],[Y-tunnus]],'1.2 Ohjaus-laskentataulu'!A:AY,COLUMN('1.2 Ohjaus-laskentataulu'!O:O),FALSE),0)</f>
        <v>2932444</v>
      </c>
      <c r="AD95" s="18">
        <f>Vertailu[[#This Row],[Suoritusrahoitus 2021, €]]-Vertailu[[#This Row],[Suoritusrahoitus 2020, €]]</f>
        <v>-86243</v>
      </c>
      <c r="AE95" s="43">
        <f>IFERROR(Vertailu[[#This Row],[Suoritusrahoituksen muutos, €]]/Vertailu[[#This Row],[Suoritusrahoitus 2020, €]],0)</f>
        <v>-2.8569705968190806E-2</v>
      </c>
      <c r="AF95" s="18">
        <f>IFERROR(VLOOKUP(Vertailu[[#This Row],[Y-tunnus]],'Suoritepäätös 2020'!$Q:$AC,COLUMN('Suoritepäätös 2020'!K:K),FALSE),0)</f>
        <v>1856741</v>
      </c>
      <c r="AG95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1585049</v>
      </c>
      <c r="AH95" s="18">
        <f>Vertailu[[#This Row],[Vaikuttavuusrahoitus 2021, €]]-Vertailu[[#This Row],[Vaikuttavuusrahoitus 2020, €]]</f>
        <v>-271692</v>
      </c>
      <c r="AI95" s="43">
        <f>IFERROR(Vertailu[[#This Row],[Vaikuttavuusrahoituksen muutos, €]]/Vertailu[[#This Row],[Vaikuttavuusrahoitus 2020, €]],0)</f>
        <v>-0.14632735529618832</v>
      </c>
    </row>
    <row r="96" spans="1:35" ht="12.75" customHeight="1" x14ac:dyDescent="0.25">
      <c r="A96" s="22" t="s">
        <v>289</v>
      </c>
      <c r="B96" s="236" t="s">
        <v>95</v>
      </c>
      <c r="C96" s="142" t="s">
        <v>274</v>
      </c>
      <c r="D96" s="170" t="s">
        <v>392</v>
      </c>
      <c r="E96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0.74735829696625256</v>
      </c>
      <c r="F96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0.74735829696625256</v>
      </c>
      <c r="G96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0.15636516063663178</v>
      </c>
      <c r="H96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9.6276542397115666E-2</v>
      </c>
      <c r="I96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7.9796275770909253E-2</v>
      </c>
      <c r="J96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7.3394212298030902E-3</v>
      </c>
      <c r="K96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9.1408453964033232E-3</v>
      </c>
      <c r="L96" s="18">
        <f>IFERROR(VLOOKUP(Vertailu[[#This Row],[Y-tunnus]],'Suoritepäätös 2020'!$Q:$AC,COLUMN('Suoritepäätös 2020'!L:L),FALSE)-VLOOKUP(Vertailu[[#This Row],[Y-tunnus]],'Suoritepäätös 2020'!$B:$N,COLUMN('Suoritepäätös 2020'!F:F),FALSE),0)</f>
        <v>640184</v>
      </c>
      <c r="M96" s="18">
        <f>IFERROR(VLOOKUP(Vertailu[[#This Row],[Y-tunnus]],'1.2 Ohjaus-laskentataulu'!A:AY,COLUMN('1.2 Ohjaus-laskentataulu'!Z:Z),FALSE),0)</f>
        <v>777718</v>
      </c>
      <c r="N96" s="18">
        <f>IFERROR(Vertailu[[#This Row],[Rahoitus pl. hark. kor. 2021 ilman alv, €]]-Vertailu[[#This Row],[Rahoitus pl. hark. kor. 2020 ilman alv, €]],0)</f>
        <v>137534</v>
      </c>
      <c r="O96" s="43">
        <f>IFERROR(Vertailu[[#This Row],[Muutos, € 1]]/Vertailu[[#This Row],[Rahoitus pl. hark. kor. 2020 ilman alv, €]],0)</f>
        <v>0.21483510990590204</v>
      </c>
      <c r="P96" s="135">
        <f>IFERROR(VLOOKUP(Vertailu[[#This Row],[Y-tunnus]],'Suoritepäätös 2020'!$Q:$AC,COLUMN('Suoritepäätös 2020'!L:L),FALSE),0)</f>
        <v>645184</v>
      </c>
      <c r="Q96" s="138">
        <f>IFERROR(VLOOKUP(Vertailu[[#This Row],[Y-tunnus]],'1.2 Ohjaus-laskentataulu'!A:AY,COLUMN('1.2 Ohjaus-laskentataulu'!AV:AV),FALSE),0)</f>
        <v>777718</v>
      </c>
      <c r="R96" s="18">
        <f>IFERROR(Vertailu[[#This Row],[Rahoitus ml. hark. kor. 
2021 ilman alv, €]]-Vertailu[[#This Row],[Rahoitus ml. hark. kor. 
2020 ilman alv, €]],0)</f>
        <v>132534</v>
      </c>
      <c r="S96" s="16">
        <f>IFERROR(Vertailu[[#This Row],[Muutos, € 2]]/Vertailu[[#This Row],[Rahoitus ml. hark. kor. 
2020 ilman alv, €]],0)</f>
        <v>0.20542046919948417</v>
      </c>
      <c r="T96" s="138">
        <f>IFERROR(VLOOKUP(Vertailu[[#This Row],[Y-tunnus]],'Suoritepäätös 2020'!$Q:$AC,COLUMN('Suoritepäätös 2020'!L:L),FALSE)+VLOOKUP(Vertailu[[#This Row],[Y-tunnus]],'Suoritepäätös 2020'!$Q:$AC,COLUMN('Suoritepäätös 2020'!M:M),FALSE),0)</f>
        <v>707617</v>
      </c>
      <c r="U96" s="135">
        <f>IFERROR(VLOOKUP(Vertailu[[#This Row],[Y-tunnus]],'1.2 Ohjaus-laskentataulu'!A:AY,COLUMN('1.2 Ohjaus-laskentataulu'!AX:AX),FALSE),0)</f>
        <v>815701</v>
      </c>
      <c r="V96" s="141">
        <f>IFERROR(Vertailu[[#This Row],[Rahoitus ml. hark. kor. + alv 2021, €]]-Vertailu[[#This Row],[Rahoitus ml. hark. kor. + alv 2020, €]],0)</f>
        <v>108084</v>
      </c>
      <c r="W96" s="43">
        <f>IFERROR(Vertailu[[#This Row],[Muutos, € 3]]/Vertailu[[#This Row],[Rahoitus ml. hark. kor. + alv 2020, €]],0)</f>
        <v>0.15274364522050771</v>
      </c>
      <c r="X96" s="18">
        <f>IFERROR(VLOOKUP(Vertailu[[#This Row],[Y-tunnus]],'Suoritepäätös 2020'!$B:$N,COLUMN('Suoritepäätös 2020'!G:G),FALSE),0)</f>
        <v>412817</v>
      </c>
      <c r="Y96" s="18">
        <f>IFERROR(VLOOKUP(Vertailu[[#This Row],[Y-tunnus]],'1.2 Ohjaus-laskentataulu'!A:AY,COLUMN('1.2 Ohjaus-laskentataulu'!AS:AS),FALSE),0)</f>
        <v>581234</v>
      </c>
      <c r="Z96" s="18">
        <f>Vertailu[[#This Row],[Perusrahoitus 2021, €]]-Vertailu[[#This Row],[Perusrahoitus 2020, €]]</f>
        <v>168417</v>
      </c>
      <c r="AA96" s="43">
        <f>IFERROR(Vertailu[[#This Row],[Perusrahoituksen muutos, €]]/Vertailu[[#This Row],[Perusrahoitus 2020, €]],0)</f>
        <v>0.40797011750969558</v>
      </c>
      <c r="AB96" s="18">
        <f>IFERROR(VLOOKUP(Vertailu[[#This Row],[Y-tunnus]],'Suoritepäätös 2020'!$B:$N,COLUMN('Suoritepäätös 2020'!M:M),FALSE),0)</f>
        <v>168970</v>
      </c>
      <c r="AC96" s="18">
        <f>IFERROR(VLOOKUP(Vertailu[[#This Row],[Y-tunnus]],'1.2 Ohjaus-laskentataulu'!A:AY,COLUMN('1.2 Ohjaus-laskentataulu'!O:O),FALSE),0)</f>
        <v>121608</v>
      </c>
      <c r="AD96" s="18">
        <f>Vertailu[[#This Row],[Suoritusrahoitus 2021, €]]-Vertailu[[#This Row],[Suoritusrahoitus 2020, €]]</f>
        <v>-47362</v>
      </c>
      <c r="AE96" s="43">
        <f>IFERROR(Vertailu[[#This Row],[Suoritusrahoituksen muutos, €]]/Vertailu[[#This Row],[Suoritusrahoitus 2020, €]],0)</f>
        <v>-0.28029827780079303</v>
      </c>
      <c r="AF96" s="18">
        <f>IFERROR(VLOOKUP(Vertailu[[#This Row],[Y-tunnus]],'Suoritepäätös 2020'!$Q:$AC,COLUMN('Suoritepäätös 2020'!K:K),FALSE),0)</f>
        <v>63397</v>
      </c>
      <c r="AG96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74876</v>
      </c>
      <c r="AH96" s="18">
        <f>Vertailu[[#This Row],[Vaikuttavuusrahoitus 2021, €]]-Vertailu[[#This Row],[Vaikuttavuusrahoitus 2020, €]]</f>
        <v>11479</v>
      </c>
      <c r="AI96" s="43">
        <f>IFERROR(Vertailu[[#This Row],[Vaikuttavuusrahoituksen muutos, €]]/Vertailu[[#This Row],[Vaikuttavuusrahoitus 2020, €]],0)</f>
        <v>0.18106535009543037</v>
      </c>
    </row>
    <row r="97" spans="1:35" ht="12.75" customHeight="1" x14ac:dyDescent="0.25">
      <c r="A97" s="22" t="s">
        <v>296</v>
      </c>
      <c r="B97" s="236" t="s">
        <v>96</v>
      </c>
      <c r="C97" s="142" t="s">
        <v>295</v>
      </c>
      <c r="D97" s="170" t="s">
        <v>391</v>
      </c>
      <c r="E97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0.69708371512512579</v>
      </c>
      <c r="F97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0.69938626645561486</v>
      </c>
      <c r="G97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0.20278258723186934</v>
      </c>
      <c r="H97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9.7831146312515854E-2</v>
      </c>
      <c r="I97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8.0420538742517617E-2</v>
      </c>
      <c r="J97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4.2447150019009477E-3</v>
      </c>
      <c r="K97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1.3165892568097285E-2</v>
      </c>
      <c r="L97" s="18">
        <f>IFERROR(VLOOKUP(Vertailu[[#This Row],[Y-tunnus]],'Suoritepäätös 2020'!$Q:$AC,COLUMN('Suoritepäätös 2020'!L:L),FALSE)-VLOOKUP(Vertailu[[#This Row],[Y-tunnus]],'Suoritepäätös 2020'!$B:$N,COLUMN('Suoritepäätös 2020'!F:F),FALSE),0)</f>
        <v>51228998</v>
      </c>
      <c r="M97" s="18">
        <f>IFERROR(VLOOKUP(Vertailu[[#This Row],[Y-tunnus]],'1.2 Ohjaus-laskentataulu'!A:AY,COLUMN('1.2 Ohjaus-laskentataulu'!Z:Z),FALSE),0)</f>
        <v>51996102</v>
      </c>
      <c r="N97" s="18">
        <f>IFERROR(Vertailu[[#This Row],[Rahoitus pl. hark. kor. 2021 ilman alv, €]]-Vertailu[[#This Row],[Rahoitus pl. hark. kor. 2020 ilman alv, €]],0)</f>
        <v>767104</v>
      </c>
      <c r="O97" s="43">
        <f>IFERROR(Vertailu[[#This Row],[Muutos, € 1]]/Vertailu[[#This Row],[Rahoitus pl. hark. kor. 2020 ilman alv, €]],0)</f>
        <v>1.4974019206856242E-2</v>
      </c>
      <c r="P97" s="135">
        <f>IFERROR(VLOOKUP(Vertailu[[#This Row],[Y-tunnus]],'Suoritepäätös 2020'!$Q:$AC,COLUMN('Suoritepäätös 2020'!L:L),FALSE),0)</f>
        <v>51228998</v>
      </c>
      <c r="Q97" s="138">
        <f>IFERROR(VLOOKUP(Vertailu[[#This Row],[Y-tunnus]],'1.2 Ohjaus-laskentataulu'!A:AY,COLUMN('1.2 Ohjaus-laskentataulu'!AV:AV),FALSE),0)</f>
        <v>52116102</v>
      </c>
      <c r="R97" s="18">
        <f>IFERROR(Vertailu[[#This Row],[Rahoitus ml. hark. kor. 
2021 ilman alv, €]]-Vertailu[[#This Row],[Rahoitus ml. hark. kor. 
2020 ilman alv, €]],0)</f>
        <v>887104</v>
      </c>
      <c r="S97" s="16">
        <f>IFERROR(Vertailu[[#This Row],[Muutos, € 2]]/Vertailu[[#This Row],[Rahoitus ml. hark. kor. 
2020 ilman alv, €]],0)</f>
        <v>1.7316442535143865E-2</v>
      </c>
      <c r="T97" s="138">
        <f>IFERROR(VLOOKUP(Vertailu[[#This Row],[Y-tunnus]],'Suoritepäätös 2020'!$Q:$AC,COLUMN('Suoritepäätös 2020'!L:L),FALSE)+VLOOKUP(Vertailu[[#This Row],[Y-tunnus]],'Suoritepäätös 2020'!$Q:$AC,COLUMN('Suoritepäätös 2020'!M:M),FALSE),0)</f>
        <v>51228998</v>
      </c>
      <c r="U97" s="135">
        <f>IFERROR(VLOOKUP(Vertailu[[#This Row],[Y-tunnus]],'1.2 Ohjaus-laskentataulu'!A:AY,COLUMN('1.2 Ohjaus-laskentataulu'!AX:AX),FALSE),0)</f>
        <v>52116102</v>
      </c>
      <c r="V97" s="141">
        <f>IFERROR(Vertailu[[#This Row],[Rahoitus ml. hark. kor. + alv 2021, €]]-Vertailu[[#This Row],[Rahoitus ml. hark. kor. + alv 2020, €]],0)</f>
        <v>887104</v>
      </c>
      <c r="W97" s="43">
        <f>IFERROR(Vertailu[[#This Row],[Muutos, € 3]]/Vertailu[[#This Row],[Rahoitus ml. hark. kor. + alv 2020, €]],0)</f>
        <v>1.7316442535143865E-2</v>
      </c>
      <c r="X97" s="18">
        <f>IFERROR(VLOOKUP(Vertailu[[#This Row],[Y-tunnus]],'Suoritepäätös 2020'!$B:$N,COLUMN('Suoritepäätös 2020'!G:G),FALSE),0)</f>
        <v>34329852</v>
      </c>
      <c r="Y97" s="18">
        <f>IFERROR(VLOOKUP(Vertailu[[#This Row],[Y-tunnus]],'1.2 Ohjaus-laskentataulu'!A:AY,COLUMN('1.2 Ohjaus-laskentataulu'!AS:AS),FALSE),0)</f>
        <v>36449286</v>
      </c>
      <c r="Z97" s="18">
        <f>Vertailu[[#This Row],[Perusrahoitus 2021, €]]-Vertailu[[#This Row],[Perusrahoitus 2020, €]]</f>
        <v>2119434</v>
      </c>
      <c r="AA97" s="43">
        <f>IFERROR(Vertailu[[#This Row],[Perusrahoituksen muutos, €]]/Vertailu[[#This Row],[Perusrahoitus 2020, €]],0)</f>
        <v>6.1737347425791407E-2</v>
      </c>
      <c r="AB97" s="18">
        <f>IFERROR(VLOOKUP(Vertailu[[#This Row],[Y-tunnus]],'Suoritepäätös 2020'!$B:$N,COLUMN('Suoritepäätös 2020'!M:M),FALSE),0)</f>
        <v>11287561</v>
      </c>
      <c r="AC97" s="18">
        <f>IFERROR(VLOOKUP(Vertailu[[#This Row],[Y-tunnus]],'1.2 Ohjaus-laskentataulu'!A:AY,COLUMN('1.2 Ohjaus-laskentataulu'!O:O),FALSE),0)</f>
        <v>10568238</v>
      </c>
      <c r="AD97" s="18">
        <f>Vertailu[[#This Row],[Suoritusrahoitus 2021, €]]-Vertailu[[#This Row],[Suoritusrahoitus 2020, €]]</f>
        <v>-719323</v>
      </c>
      <c r="AE97" s="43">
        <f>IFERROR(Vertailu[[#This Row],[Suoritusrahoituksen muutos, €]]/Vertailu[[#This Row],[Suoritusrahoitus 2020, €]],0)</f>
        <v>-6.3727053169413655E-2</v>
      </c>
      <c r="AF97" s="18">
        <f>IFERROR(VLOOKUP(Vertailu[[#This Row],[Y-tunnus]],'Suoritepäätös 2020'!$Q:$AC,COLUMN('Suoritepäätös 2020'!K:K),FALSE),0)</f>
        <v>5611585</v>
      </c>
      <c r="AG97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5098578</v>
      </c>
      <c r="AH97" s="18">
        <f>Vertailu[[#This Row],[Vaikuttavuusrahoitus 2021, €]]-Vertailu[[#This Row],[Vaikuttavuusrahoitus 2020, €]]</f>
        <v>-513007</v>
      </c>
      <c r="AI97" s="43">
        <f>IFERROR(Vertailu[[#This Row],[Vaikuttavuusrahoituksen muutos, €]]/Vertailu[[#This Row],[Vaikuttavuusrahoitus 2020, €]],0)</f>
        <v>-9.1419269243894555E-2</v>
      </c>
    </row>
    <row r="98" spans="1:35" ht="12.75" customHeight="1" x14ac:dyDescent="0.25">
      <c r="A98" s="22" t="s">
        <v>286</v>
      </c>
      <c r="B98" s="236" t="s">
        <v>97</v>
      </c>
      <c r="C98" s="142" t="s">
        <v>265</v>
      </c>
      <c r="D98" s="170" t="s">
        <v>392</v>
      </c>
      <c r="E98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0.61898437866189737</v>
      </c>
      <c r="F98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0.61898437866189737</v>
      </c>
      <c r="G98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0.27567245646621563</v>
      </c>
      <c r="H98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0.10534316487188701</v>
      </c>
      <c r="I98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6.8862740484696205E-2</v>
      </c>
      <c r="J98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1.2066396890621223E-2</v>
      </c>
      <c r="K98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2.4414027496569592E-2</v>
      </c>
      <c r="L98" s="18">
        <f>IFERROR(VLOOKUP(Vertailu[[#This Row],[Y-tunnus]],'Suoritepäätös 2020'!$Q:$AC,COLUMN('Suoritepäätös 2020'!L:L),FALSE)-VLOOKUP(Vertailu[[#This Row],[Y-tunnus]],'Suoritepäätös 2020'!$B:$N,COLUMN('Suoritepäätös 2020'!F:F),FALSE),0)</f>
        <v>1028524</v>
      </c>
      <c r="M98" s="18">
        <f>IFERROR(VLOOKUP(Vertailu[[#This Row],[Y-tunnus]],'1.2 Ohjaus-laskentataulu'!A:AY,COLUMN('1.2 Ohjaus-laskentataulu'!Z:Z),FALSE),0)</f>
        <v>1088063</v>
      </c>
      <c r="N98" s="18">
        <f>IFERROR(Vertailu[[#This Row],[Rahoitus pl. hark. kor. 2021 ilman alv, €]]-Vertailu[[#This Row],[Rahoitus pl. hark. kor. 2020 ilman alv, €]],0)</f>
        <v>59539</v>
      </c>
      <c r="O98" s="43">
        <f>IFERROR(Vertailu[[#This Row],[Muutos, € 1]]/Vertailu[[#This Row],[Rahoitus pl. hark. kor. 2020 ilman alv, €]],0)</f>
        <v>5.7887808160042936E-2</v>
      </c>
      <c r="P98" s="135">
        <f>IFERROR(VLOOKUP(Vertailu[[#This Row],[Y-tunnus]],'Suoritepäätös 2020'!$Q:$AC,COLUMN('Suoritepäätös 2020'!L:L),FALSE),0)</f>
        <v>1028524</v>
      </c>
      <c r="Q98" s="138">
        <f>IFERROR(VLOOKUP(Vertailu[[#This Row],[Y-tunnus]],'1.2 Ohjaus-laskentataulu'!A:AY,COLUMN('1.2 Ohjaus-laskentataulu'!AV:AV),FALSE),0)</f>
        <v>1088063</v>
      </c>
      <c r="R98" s="18">
        <f>IFERROR(Vertailu[[#This Row],[Rahoitus ml. hark. kor. 
2021 ilman alv, €]]-Vertailu[[#This Row],[Rahoitus ml. hark. kor. 
2020 ilman alv, €]],0)</f>
        <v>59539</v>
      </c>
      <c r="S98" s="16">
        <f>IFERROR(Vertailu[[#This Row],[Muutos, € 2]]/Vertailu[[#This Row],[Rahoitus ml. hark. kor. 
2020 ilman alv, €]],0)</f>
        <v>5.7887808160042936E-2</v>
      </c>
      <c r="T98" s="138">
        <f>IFERROR(VLOOKUP(Vertailu[[#This Row],[Y-tunnus]],'Suoritepäätös 2020'!$Q:$AC,COLUMN('Suoritepäätös 2020'!L:L),FALSE)+VLOOKUP(Vertailu[[#This Row],[Y-tunnus]],'Suoritepäätös 2020'!$Q:$AC,COLUMN('Suoritepäätös 2020'!M:M),FALSE),0)</f>
        <v>1082519</v>
      </c>
      <c r="U98" s="135">
        <f>IFERROR(VLOOKUP(Vertailu[[#This Row],[Y-tunnus]],'1.2 Ohjaus-laskentataulu'!A:AY,COLUMN('1.2 Ohjaus-laskentataulu'!AX:AX),FALSE),0)</f>
        <v>1140834</v>
      </c>
      <c r="V98" s="141">
        <f>IFERROR(Vertailu[[#This Row],[Rahoitus ml. hark. kor. + alv 2021, €]]-Vertailu[[#This Row],[Rahoitus ml. hark. kor. + alv 2020, €]],0)</f>
        <v>58315</v>
      </c>
      <c r="W98" s="43">
        <f>IFERROR(Vertailu[[#This Row],[Muutos, € 3]]/Vertailu[[#This Row],[Rahoitus ml. hark. kor. + alv 2020, €]],0)</f>
        <v>5.386972422654937E-2</v>
      </c>
      <c r="X98" s="18">
        <f>IFERROR(VLOOKUP(Vertailu[[#This Row],[Y-tunnus]],'Suoritepäätös 2020'!$B:$N,COLUMN('Suoritepäätös 2020'!G:G),FALSE),0)</f>
        <v>646252</v>
      </c>
      <c r="Y98" s="18">
        <f>IFERROR(VLOOKUP(Vertailu[[#This Row],[Y-tunnus]],'1.2 Ohjaus-laskentataulu'!A:AY,COLUMN('1.2 Ohjaus-laskentataulu'!AS:AS),FALSE),0)</f>
        <v>673494</v>
      </c>
      <c r="Z98" s="18">
        <f>Vertailu[[#This Row],[Perusrahoitus 2021, €]]-Vertailu[[#This Row],[Perusrahoitus 2020, €]]</f>
        <v>27242</v>
      </c>
      <c r="AA98" s="43">
        <f>IFERROR(Vertailu[[#This Row],[Perusrahoituksen muutos, €]]/Vertailu[[#This Row],[Perusrahoitus 2020, €]],0)</f>
        <v>4.2153834727010515E-2</v>
      </c>
      <c r="AB98" s="18">
        <f>IFERROR(VLOOKUP(Vertailu[[#This Row],[Y-tunnus]],'Suoritepäätös 2020'!$B:$N,COLUMN('Suoritepäätös 2020'!M:M),FALSE),0)</f>
        <v>243747</v>
      </c>
      <c r="AC98" s="18">
        <f>IFERROR(VLOOKUP(Vertailu[[#This Row],[Y-tunnus]],'1.2 Ohjaus-laskentataulu'!A:AY,COLUMN('1.2 Ohjaus-laskentataulu'!O:O),FALSE),0)</f>
        <v>299949</v>
      </c>
      <c r="AD98" s="18">
        <f>Vertailu[[#This Row],[Suoritusrahoitus 2021, €]]-Vertailu[[#This Row],[Suoritusrahoitus 2020, €]]</f>
        <v>56202</v>
      </c>
      <c r="AE98" s="43">
        <f>IFERROR(Vertailu[[#This Row],[Suoritusrahoituksen muutos, €]]/Vertailu[[#This Row],[Suoritusrahoitus 2020, €]],0)</f>
        <v>0.2305751455402528</v>
      </c>
      <c r="AF98" s="18">
        <f>IFERROR(VLOOKUP(Vertailu[[#This Row],[Y-tunnus]],'Suoritepäätös 2020'!$Q:$AC,COLUMN('Suoritepäätös 2020'!K:K),FALSE),0)</f>
        <v>138525</v>
      </c>
      <c r="AG98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114620</v>
      </c>
      <c r="AH98" s="18">
        <f>Vertailu[[#This Row],[Vaikuttavuusrahoitus 2021, €]]-Vertailu[[#This Row],[Vaikuttavuusrahoitus 2020, €]]</f>
        <v>-23905</v>
      </c>
      <c r="AI98" s="43">
        <f>IFERROR(Vertailu[[#This Row],[Vaikuttavuusrahoituksen muutos, €]]/Vertailu[[#This Row],[Vaikuttavuusrahoitus 2020, €]],0)</f>
        <v>-0.17256812849666125</v>
      </c>
    </row>
    <row r="99" spans="1:35" ht="12.75" customHeight="1" x14ac:dyDescent="0.25">
      <c r="A99" s="22" t="s">
        <v>285</v>
      </c>
      <c r="B99" s="236" t="s">
        <v>98</v>
      </c>
      <c r="C99" s="142" t="s">
        <v>220</v>
      </c>
      <c r="D99" s="170" t="s">
        <v>392</v>
      </c>
      <c r="E99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0.66505617852492882</v>
      </c>
      <c r="F99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0.68360306691346395</v>
      </c>
      <c r="G99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0.20549581396729072</v>
      </c>
      <c r="H99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0.11090111911924537</v>
      </c>
      <c r="I99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8.5072722349371452E-2</v>
      </c>
      <c r="J99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6.1798232110598806E-3</v>
      </c>
      <c r="K99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1.9648573558814039E-2</v>
      </c>
      <c r="L99" s="18">
        <f>IFERROR(VLOOKUP(Vertailu[[#This Row],[Y-tunnus]],'Suoritepäätös 2020'!$Q:$AC,COLUMN('Suoritepäätös 2020'!L:L),FALSE)-VLOOKUP(Vertailu[[#This Row],[Y-tunnus]],'Suoritepäätös 2020'!$B:$N,COLUMN('Suoritepäätös 2020'!F:F),FALSE),0)</f>
        <v>479938</v>
      </c>
      <c r="M99" s="18">
        <f>IFERROR(VLOOKUP(Vertailu[[#This Row],[Y-tunnus]],'1.2 Ohjaus-laskentataulu'!A:AY,COLUMN('1.2 Ohjaus-laskentataulu'!Z:Z),FALSE),0)</f>
        <v>529174</v>
      </c>
      <c r="N99" s="18">
        <f>IFERROR(Vertailu[[#This Row],[Rahoitus pl. hark. kor. 2021 ilman alv, €]]-Vertailu[[#This Row],[Rahoitus pl. hark. kor. 2020 ilman alv, €]],0)</f>
        <v>49236</v>
      </c>
      <c r="O99" s="43">
        <f>IFERROR(Vertailu[[#This Row],[Muutos, € 1]]/Vertailu[[#This Row],[Rahoitus pl. hark. kor. 2020 ilman alv, €]],0)</f>
        <v>0.10258825098241857</v>
      </c>
      <c r="P99" s="135">
        <f>IFERROR(VLOOKUP(Vertailu[[#This Row],[Y-tunnus]],'Suoritepäätös 2020'!$Q:$AC,COLUMN('Suoritepäätös 2020'!L:L),FALSE),0)</f>
        <v>479938</v>
      </c>
      <c r="Q99" s="138">
        <f>IFERROR(VLOOKUP(Vertailu[[#This Row],[Y-tunnus]],'1.2 Ohjaus-laskentataulu'!A:AY,COLUMN('1.2 Ohjaus-laskentataulu'!AV:AV),FALSE),0)</f>
        <v>539174</v>
      </c>
      <c r="R99" s="18">
        <f>IFERROR(Vertailu[[#This Row],[Rahoitus ml. hark. kor. 
2021 ilman alv, €]]-Vertailu[[#This Row],[Rahoitus ml. hark. kor. 
2020 ilman alv, €]],0)</f>
        <v>59236</v>
      </c>
      <c r="S99" s="16">
        <f>IFERROR(Vertailu[[#This Row],[Muutos, € 2]]/Vertailu[[#This Row],[Rahoitus ml. hark. kor. 
2020 ilman alv, €]],0)</f>
        <v>0.12342427563560293</v>
      </c>
      <c r="T99" s="138">
        <f>IFERROR(VLOOKUP(Vertailu[[#This Row],[Y-tunnus]],'Suoritepäätös 2020'!$Q:$AC,COLUMN('Suoritepäätös 2020'!L:L),FALSE)+VLOOKUP(Vertailu[[#This Row],[Y-tunnus]],'Suoritepäätös 2020'!$Q:$AC,COLUMN('Suoritepäätös 2020'!M:M),FALSE),0)</f>
        <v>512743</v>
      </c>
      <c r="U99" s="135">
        <f>IFERROR(VLOOKUP(Vertailu[[#This Row],[Y-tunnus]],'1.2 Ohjaus-laskentataulu'!A:AY,COLUMN('1.2 Ohjaus-laskentataulu'!AX:AX),FALSE),0)</f>
        <v>568186</v>
      </c>
      <c r="V99" s="141">
        <f>IFERROR(Vertailu[[#This Row],[Rahoitus ml. hark. kor. + alv 2021, €]]-Vertailu[[#This Row],[Rahoitus ml. hark. kor. + alv 2020, €]],0)</f>
        <v>55443</v>
      </c>
      <c r="W99" s="43">
        <f>IFERROR(Vertailu[[#This Row],[Muutos, € 3]]/Vertailu[[#This Row],[Rahoitus ml. hark. kor. + alv 2020, €]],0)</f>
        <v>0.10813019387880478</v>
      </c>
      <c r="X99" s="18">
        <f>IFERROR(VLOOKUP(Vertailu[[#This Row],[Y-tunnus]],'Suoritepäätös 2020'!$B:$N,COLUMN('Suoritepäätös 2020'!G:G),FALSE),0)</f>
        <v>326372</v>
      </c>
      <c r="Y99" s="18">
        <f>IFERROR(VLOOKUP(Vertailu[[#This Row],[Y-tunnus]],'1.2 Ohjaus-laskentataulu'!A:AY,COLUMN('1.2 Ohjaus-laskentataulu'!AS:AS),FALSE),0)</f>
        <v>368581</v>
      </c>
      <c r="Z99" s="18">
        <f>Vertailu[[#This Row],[Perusrahoitus 2021, €]]-Vertailu[[#This Row],[Perusrahoitus 2020, €]]</f>
        <v>42209</v>
      </c>
      <c r="AA99" s="43">
        <f>IFERROR(Vertailu[[#This Row],[Perusrahoituksen muutos, €]]/Vertailu[[#This Row],[Perusrahoitus 2020, €]],0)</f>
        <v>0.12932788351941957</v>
      </c>
      <c r="AB99" s="18">
        <f>IFERROR(VLOOKUP(Vertailu[[#This Row],[Y-tunnus]],'Suoritepäätös 2020'!$B:$N,COLUMN('Suoritepäätös 2020'!M:M),FALSE),0)</f>
        <v>77522</v>
      </c>
      <c r="AC99" s="18">
        <f>IFERROR(VLOOKUP(Vertailu[[#This Row],[Y-tunnus]],'1.2 Ohjaus-laskentataulu'!A:AY,COLUMN('1.2 Ohjaus-laskentataulu'!O:O),FALSE),0)</f>
        <v>110798</v>
      </c>
      <c r="AD99" s="18">
        <f>Vertailu[[#This Row],[Suoritusrahoitus 2021, €]]-Vertailu[[#This Row],[Suoritusrahoitus 2020, €]]</f>
        <v>33276</v>
      </c>
      <c r="AE99" s="43">
        <f>IFERROR(Vertailu[[#This Row],[Suoritusrahoituksen muutos, €]]/Vertailu[[#This Row],[Suoritusrahoitus 2020, €]],0)</f>
        <v>0.42924589148886766</v>
      </c>
      <c r="AF99" s="18">
        <f>IFERROR(VLOOKUP(Vertailu[[#This Row],[Y-tunnus]],'Suoritepäätös 2020'!$Q:$AC,COLUMN('Suoritepäätös 2020'!K:K),FALSE),0)</f>
        <v>76044</v>
      </c>
      <c r="AG99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59795</v>
      </c>
      <c r="AH99" s="18">
        <f>Vertailu[[#This Row],[Vaikuttavuusrahoitus 2021, €]]-Vertailu[[#This Row],[Vaikuttavuusrahoitus 2020, €]]</f>
        <v>-16249</v>
      </c>
      <c r="AI99" s="43">
        <f>IFERROR(Vertailu[[#This Row],[Vaikuttavuusrahoituksen muutos, €]]/Vertailu[[#This Row],[Vaikuttavuusrahoitus 2020, €]],0)</f>
        <v>-0.2136789227289464</v>
      </c>
    </row>
    <row r="100" spans="1:35" ht="12.75" customHeight="1" x14ac:dyDescent="0.25">
      <c r="A100" s="22" t="s">
        <v>284</v>
      </c>
      <c r="B100" s="236" t="s">
        <v>99</v>
      </c>
      <c r="C100" s="142" t="s">
        <v>224</v>
      </c>
      <c r="D100" s="170" t="s">
        <v>392</v>
      </c>
      <c r="E100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0.73599868317178008</v>
      </c>
      <c r="F100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0.74502299937226857</v>
      </c>
      <c r="G100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0.13868352553321978</v>
      </c>
      <c r="H100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0.11629347509451167</v>
      </c>
      <c r="I100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7.2673540307830256E-2</v>
      </c>
      <c r="J100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6.1975393938475103E-3</v>
      </c>
      <c r="K100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3.7422395392833901E-2</v>
      </c>
      <c r="L100" s="18">
        <f>IFERROR(VLOOKUP(Vertailu[[#This Row],[Y-tunnus]],'Suoritepäätös 2020'!$Q:$AC,COLUMN('Suoritepäätös 2020'!L:L),FALSE)-VLOOKUP(Vertailu[[#This Row],[Y-tunnus]],'Suoritepäätös 2020'!$B:$N,COLUMN('Suoritepäätös 2020'!F:F),FALSE),0)</f>
        <v>1902855</v>
      </c>
      <c r="M100" s="18">
        <f>IFERROR(VLOOKUP(Vertailu[[#This Row],[Y-tunnus]],'1.2 Ohjaus-laskentataulu'!A:AY,COLUMN('1.2 Ohjaus-laskentataulu'!Z:Z),FALSE),0)</f>
        <v>2745293</v>
      </c>
      <c r="N100" s="18">
        <f>IFERROR(Vertailu[[#This Row],[Rahoitus pl. hark. kor. 2021 ilman alv, €]]-Vertailu[[#This Row],[Rahoitus pl. hark. kor. 2020 ilman alv, €]],0)</f>
        <v>842438</v>
      </c>
      <c r="O100" s="43">
        <f>IFERROR(Vertailu[[#This Row],[Muutos, € 1]]/Vertailu[[#This Row],[Rahoitus pl. hark. kor. 2020 ilman alv, €]],0)</f>
        <v>0.44272317123480243</v>
      </c>
      <c r="P100" s="135">
        <f>IFERROR(VLOOKUP(Vertailu[[#This Row],[Y-tunnus]],'Suoritepäätös 2020'!$Q:$AC,COLUMN('Suoritepäätös 2020'!L:L),FALSE),0)</f>
        <v>1902855</v>
      </c>
      <c r="Q100" s="138">
        <f>IFERROR(VLOOKUP(Vertailu[[#This Row],[Y-tunnus]],'1.2 Ohjaus-laskentataulu'!A:AY,COLUMN('1.2 Ohjaus-laskentataulu'!AV:AV),FALSE),0)</f>
        <v>2770293</v>
      </c>
      <c r="R100" s="18">
        <f>IFERROR(Vertailu[[#This Row],[Rahoitus ml. hark. kor. 
2021 ilman alv, €]]-Vertailu[[#This Row],[Rahoitus ml. hark. kor. 
2020 ilman alv, €]],0)</f>
        <v>867438</v>
      </c>
      <c r="S100" s="16">
        <f>IFERROR(Vertailu[[#This Row],[Muutos, € 2]]/Vertailu[[#This Row],[Rahoitus ml. hark. kor. 
2020 ilman alv, €]],0)</f>
        <v>0.45586132416815783</v>
      </c>
      <c r="T100" s="138">
        <f>IFERROR(VLOOKUP(Vertailu[[#This Row],[Y-tunnus]],'Suoritepäätös 2020'!$Q:$AC,COLUMN('Suoritepäätös 2020'!L:L),FALSE)+VLOOKUP(Vertailu[[#This Row],[Y-tunnus]],'Suoritepäätös 2020'!$Q:$AC,COLUMN('Suoritepäätös 2020'!M:M),FALSE),0)</f>
        <v>1953207</v>
      </c>
      <c r="U100" s="135">
        <f>IFERROR(VLOOKUP(Vertailu[[#This Row],[Y-tunnus]],'1.2 Ohjaus-laskentataulu'!A:AY,COLUMN('1.2 Ohjaus-laskentataulu'!AX:AX),FALSE),0)</f>
        <v>2842384</v>
      </c>
      <c r="V100" s="141">
        <f>IFERROR(Vertailu[[#This Row],[Rahoitus ml. hark. kor. + alv 2021, €]]-Vertailu[[#This Row],[Rahoitus ml. hark. kor. + alv 2020, €]],0)</f>
        <v>889177</v>
      </c>
      <c r="W100" s="43">
        <f>IFERROR(Vertailu[[#This Row],[Muutos, € 3]]/Vertailu[[#This Row],[Rahoitus ml. hark. kor. + alv 2020, €]],0)</f>
        <v>0.45523951122436074</v>
      </c>
      <c r="X100" s="18">
        <f>IFERROR(VLOOKUP(Vertailu[[#This Row],[Y-tunnus]],'Suoritepäätös 2020'!$B:$N,COLUMN('Suoritepäätös 2020'!G:G),FALSE),0)</f>
        <v>1195124</v>
      </c>
      <c r="Y100" s="18">
        <f>IFERROR(VLOOKUP(Vertailu[[#This Row],[Y-tunnus]],'1.2 Ohjaus-laskentataulu'!A:AY,COLUMN('1.2 Ohjaus-laskentataulu'!AS:AS),FALSE),0)</f>
        <v>2063932</v>
      </c>
      <c r="Z100" s="18">
        <f>Vertailu[[#This Row],[Perusrahoitus 2021, €]]-Vertailu[[#This Row],[Perusrahoitus 2020, €]]</f>
        <v>868808</v>
      </c>
      <c r="AA100" s="43">
        <f>IFERROR(Vertailu[[#This Row],[Perusrahoituksen muutos, €]]/Vertailu[[#This Row],[Perusrahoitus 2020, €]],0)</f>
        <v>0.72696054970028212</v>
      </c>
      <c r="AB100" s="18">
        <f>IFERROR(VLOOKUP(Vertailu[[#This Row],[Y-tunnus]],'Suoritepäätös 2020'!$B:$N,COLUMN('Suoritepäätös 2020'!M:M),FALSE),0)</f>
        <v>375572</v>
      </c>
      <c r="AC100" s="18">
        <f>IFERROR(VLOOKUP(Vertailu[[#This Row],[Y-tunnus]],'1.2 Ohjaus-laskentataulu'!A:AY,COLUMN('1.2 Ohjaus-laskentataulu'!O:O),FALSE),0)</f>
        <v>384194</v>
      </c>
      <c r="AD100" s="18">
        <f>Vertailu[[#This Row],[Suoritusrahoitus 2021, €]]-Vertailu[[#This Row],[Suoritusrahoitus 2020, €]]</f>
        <v>8622</v>
      </c>
      <c r="AE100" s="43">
        <f>IFERROR(Vertailu[[#This Row],[Suoritusrahoituksen muutos, €]]/Vertailu[[#This Row],[Suoritusrahoitus 2020, €]],0)</f>
        <v>2.2956982948675621E-2</v>
      </c>
      <c r="AF100" s="18">
        <f>IFERROR(VLOOKUP(Vertailu[[#This Row],[Y-tunnus]],'Suoritepäätös 2020'!$Q:$AC,COLUMN('Suoritepäätös 2020'!K:K),FALSE),0)</f>
        <v>332159</v>
      </c>
      <c r="AG100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322167</v>
      </c>
      <c r="AH100" s="18">
        <f>Vertailu[[#This Row],[Vaikuttavuusrahoitus 2021, €]]-Vertailu[[#This Row],[Vaikuttavuusrahoitus 2020, €]]</f>
        <v>-9992</v>
      </c>
      <c r="AI100" s="43">
        <f>IFERROR(Vertailu[[#This Row],[Vaikuttavuusrahoituksen muutos, €]]/Vertailu[[#This Row],[Vaikuttavuusrahoitus 2020, €]],0)</f>
        <v>-3.0081978811352394E-2</v>
      </c>
    </row>
    <row r="101" spans="1:35" ht="12.75" customHeight="1" x14ac:dyDescent="0.25">
      <c r="A101" s="22" t="s">
        <v>288</v>
      </c>
      <c r="B101" s="236" t="s">
        <v>100</v>
      </c>
      <c r="C101" s="142" t="s">
        <v>216</v>
      </c>
      <c r="D101" s="170" t="s">
        <v>392</v>
      </c>
      <c r="E101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0.66720706314745171</v>
      </c>
      <c r="F101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0.66720706314745171</v>
      </c>
      <c r="G101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0.25429770683321484</v>
      </c>
      <c r="H101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7.8495230019333478E-2</v>
      </c>
      <c r="I101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5.8335311730630196E-2</v>
      </c>
      <c r="J101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5.3036994335106018E-3</v>
      </c>
      <c r="K101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1.485621885519268E-2</v>
      </c>
      <c r="L101" s="18">
        <f>IFERROR(VLOOKUP(Vertailu[[#This Row],[Y-tunnus]],'Suoritepäätös 2020'!$Q:$AC,COLUMN('Suoritepäätös 2020'!L:L),FALSE)-VLOOKUP(Vertailu[[#This Row],[Y-tunnus]],'Suoritepäätös 2020'!$B:$N,COLUMN('Suoritepäätös 2020'!F:F),FALSE),0)</f>
        <v>1640098</v>
      </c>
      <c r="M101" s="18">
        <f>IFERROR(VLOOKUP(Vertailu[[#This Row],[Y-tunnus]],'1.2 Ohjaus-laskentataulu'!A:AY,COLUMN('1.2 Ohjaus-laskentataulu'!Z:Z),FALSE),0)</f>
        <v>1672229</v>
      </c>
      <c r="N101" s="18">
        <f>IFERROR(Vertailu[[#This Row],[Rahoitus pl. hark. kor. 2021 ilman alv, €]]-Vertailu[[#This Row],[Rahoitus pl. hark. kor. 2020 ilman alv, €]],0)</f>
        <v>32131</v>
      </c>
      <c r="O101" s="43">
        <f>IFERROR(Vertailu[[#This Row],[Muutos, € 1]]/Vertailu[[#This Row],[Rahoitus pl. hark. kor. 2020 ilman alv, €]],0)</f>
        <v>1.9590902494850918E-2</v>
      </c>
      <c r="P101" s="135">
        <f>IFERROR(VLOOKUP(Vertailu[[#This Row],[Y-tunnus]],'Suoritepäätös 2020'!$Q:$AC,COLUMN('Suoritepäätös 2020'!L:L),FALSE),0)</f>
        <v>1640098</v>
      </c>
      <c r="Q101" s="138">
        <f>IFERROR(VLOOKUP(Vertailu[[#This Row],[Y-tunnus]],'1.2 Ohjaus-laskentataulu'!A:AY,COLUMN('1.2 Ohjaus-laskentataulu'!AV:AV),FALSE),0)</f>
        <v>1672229</v>
      </c>
      <c r="R101" s="18">
        <f>IFERROR(Vertailu[[#This Row],[Rahoitus ml. hark. kor. 
2021 ilman alv, €]]-Vertailu[[#This Row],[Rahoitus ml. hark. kor. 
2020 ilman alv, €]],0)</f>
        <v>32131</v>
      </c>
      <c r="S101" s="16">
        <f>IFERROR(Vertailu[[#This Row],[Muutos, € 2]]/Vertailu[[#This Row],[Rahoitus ml. hark. kor. 
2020 ilman alv, €]],0)</f>
        <v>1.9590902494850918E-2</v>
      </c>
      <c r="T101" s="138">
        <f>IFERROR(VLOOKUP(Vertailu[[#This Row],[Y-tunnus]],'Suoritepäätös 2020'!$Q:$AC,COLUMN('Suoritepäätös 2020'!L:L),FALSE)+VLOOKUP(Vertailu[[#This Row],[Y-tunnus]],'Suoritepäätös 2020'!$Q:$AC,COLUMN('Suoritepäätös 2020'!M:M),FALSE),0)</f>
        <v>1678464</v>
      </c>
      <c r="U101" s="135">
        <f>IFERROR(VLOOKUP(Vertailu[[#This Row],[Y-tunnus]],'1.2 Ohjaus-laskentataulu'!A:AY,COLUMN('1.2 Ohjaus-laskentataulu'!AX:AX),FALSE),0)</f>
        <v>1721284</v>
      </c>
      <c r="V101" s="141">
        <f>IFERROR(Vertailu[[#This Row],[Rahoitus ml. hark. kor. + alv 2021, €]]-Vertailu[[#This Row],[Rahoitus ml. hark. kor. + alv 2020, €]],0)</f>
        <v>42820</v>
      </c>
      <c r="W101" s="43">
        <f>IFERROR(Vertailu[[#This Row],[Muutos, € 3]]/Vertailu[[#This Row],[Rahoitus ml. hark. kor. + alv 2020, €]],0)</f>
        <v>2.5511419964920307E-2</v>
      </c>
      <c r="X101" s="18">
        <f>IFERROR(VLOOKUP(Vertailu[[#This Row],[Y-tunnus]],'Suoritepäätös 2020'!$B:$N,COLUMN('Suoritepäätös 2020'!G:G),FALSE),0)</f>
        <v>1087120</v>
      </c>
      <c r="Y101" s="18">
        <f>IFERROR(VLOOKUP(Vertailu[[#This Row],[Y-tunnus]],'1.2 Ohjaus-laskentataulu'!A:AY,COLUMN('1.2 Ohjaus-laskentataulu'!AS:AS),FALSE),0)</f>
        <v>1115723</v>
      </c>
      <c r="Z101" s="18">
        <f>Vertailu[[#This Row],[Perusrahoitus 2021, €]]-Vertailu[[#This Row],[Perusrahoitus 2020, €]]</f>
        <v>28603</v>
      </c>
      <c r="AA101" s="43">
        <f>IFERROR(Vertailu[[#This Row],[Perusrahoituksen muutos, €]]/Vertailu[[#This Row],[Perusrahoitus 2020, €]],0)</f>
        <v>2.6310802855250569E-2</v>
      </c>
      <c r="AB101" s="18">
        <f>IFERROR(VLOOKUP(Vertailu[[#This Row],[Y-tunnus]],'Suoritepäätös 2020'!$B:$N,COLUMN('Suoritepäätös 2020'!M:M),FALSE),0)</f>
        <v>398501</v>
      </c>
      <c r="AC101" s="18">
        <f>IFERROR(VLOOKUP(Vertailu[[#This Row],[Y-tunnus]],'1.2 Ohjaus-laskentataulu'!A:AY,COLUMN('1.2 Ohjaus-laskentataulu'!O:O),FALSE),0)</f>
        <v>425244</v>
      </c>
      <c r="AD101" s="18">
        <f>Vertailu[[#This Row],[Suoritusrahoitus 2021, €]]-Vertailu[[#This Row],[Suoritusrahoitus 2020, €]]</f>
        <v>26743</v>
      </c>
      <c r="AE101" s="43">
        <f>IFERROR(Vertailu[[#This Row],[Suoritusrahoituksen muutos, €]]/Vertailu[[#This Row],[Suoritusrahoitus 2020, €]],0)</f>
        <v>6.7108990943561E-2</v>
      </c>
      <c r="AF101" s="18">
        <f>IFERROR(VLOOKUP(Vertailu[[#This Row],[Y-tunnus]],'Suoritepäätös 2020'!$Q:$AC,COLUMN('Suoritepäätös 2020'!K:K),FALSE),0)</f>
        <v>154477</v>
      </c>
      <c r="AG101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131262</v>
      </c>
      <c r="AH101" s="18">
        <f>Vertailu[[#This Row],[Vaikuttavuusrahoitus 2021, €]]-Vertailu[[#This Row],[Vaikuttavuusrahoitus 2020, €]]</f>
        <v>-23215</v>
      </c>
      <c r="AI101" s="43">
        <f>IFERROR(Vertailu[[#This Row],[Vaikuttavuusrahoituksen muutos, €]]/Vertailu[[#This Row],[Vaikuttavuusrahoitus 2020, €]],0)</f>
        <v>-0.15028127164561714</v>
      </c>
    </row>
    <row r="102" spans="1:35" ht="12.75" customHeight="1" x14ac:dyDescent="0.25">
      <c r="A102" s="22" t="s">
        <v>287</v>
      </c>
      <c r="B102" s="236" t="s">
        <v>101</v>
      </c>
      <c r="C102" s="142" t="s">
        <v>220</v>
      </c>
      <c r="D102" s="170" t="s">
        <v>392</v>
      </c>
      <c r="E102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0.66133952755780234</v>
      </c>
      <c r="F102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0.66133952755780234</v>
      </c>
      <c r="G102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0.20034179603341593</v>
      </c>
      <c r="H102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0.1383186764087817</v>
      </c>
      <c r="I102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0.12493056025116307</v>
      </c>
      <c r="J102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3.8979066650226516E-3</v>
      </c>
      <c r="K102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9.4902094925959652E-3</v>
      </c>
      <c r="L102" s="18">
        <f>IFERROR(VLOOKUP(Vertailu[[#This Row],[Y-tunnus]],'Suoritepäätös 2020'!$Q:$AC,COLUMN('Suoritepäätös 2020'!L:L),FALSE)-VLOOKUP(Vertailu[[#This Row],[Y-tunnus]],'Suoritepäätös 2020'!$B:$N,COLUMN('Suoritepäätös 2020'!F:F),FALSE),0)</f>
        <v>804311</v>
      </c>
      <c r="M102" s="18">
        <f>IFERROR(VLOOKUP(Vertailu[[#This Row],[Y-tunnus]],'1.2 Ohjaus-laskentataulu'!A:AY,COLUMN('1.2 Ohjaus-laskentataulu'!Z:Z),FALSE),0)</f>
        <v>754251</v>
      </c>
      <c r="N102" s="18">
        <f>IFERROR(Vertailu[[#This Row],[Rahoitus pl. hark. kor. 2021 ilman alv, €]]-Vertailu[[#This Row],[Rahoitus pl. hark. kor. 2020 ilman alv, €]],0)</f>
        <v>-50060</v>
      </c>
      <c r="O102" s="43">
        <f>IFERROR(Vertailu[[#This Row],[Muutos, € 1]]/Vertailu[[#This Row],[Rahoitus pl. hark. kor. 2020 ilman alv, €]],0)</f>
        <v>-6.2239606321435367E-2</v>
      </c>
      <c r="P102" s="135">
        <f>IFERROR(VLOOKUP(Vertailu[[#This Row],[Y-tunnus]],'Suoritepäätös 2020'!$Q:$AC,COLUMN('Suoritepäätös 2020'!L:L),FALSE),0)</f>
        <v>804311</v>
      </c>
      <c r="Q102" s="138">
        <f>IFERROR(VLOOKUP(Vertailu[[#This Row],[Y-tunnus]],'1.2 Ohjaus-laskentataulu'!A:AY,COLUMN('1.2 Ohjaus-laskentataulu'!AV:AV),FALSE),0)</f>
        <v>754251</v>
      </c>
      <c r="R102" s="18">
        <f>IFERROR(Vertailu[[#This Row],[Rahoitus ml. hark. kor. 
2021 ilman alv, €]]-Vertailu[[#This Row],[Rahoitus ml. hark. kor. 
2020 ilman alv, €]],0)</f>
        <v>-50060</v>
      </c>
      <c r="S102" s="16">
        <f>IFERROR(Vertailu[[#This Row],[Muutos, € 2]]/Vertailu[[#This Row],[Rahoitus ml. hark. kor. 
2020 ilman alv, €]],0)</f>
        <v>-6.2239606321435367E-2</v>
      </c>
      <c r="T102" s="138">
        <f>IFERROR(VLOOKUP(Vertailu[[#This Row],[Y-tunnus]],'Suoritepäätös 2020'!$Q:$AC,COLUMN('Suoritepäätös 2020'!L:L),FALSE)+VLOOKUP(Vertailu[[#This Row],[Y-tunnus]],'Suoritepäätös 2020'!$Q:$AC,COLUMN('Suoritepäätös 2020'!M:M),FALSE),0)</f>
        <v>833307</v>
      </c>
      <c r="U102" s="135">
        <f>IFERROR(VLOOKUP(Vertailu[[#This Row],[Y-tunnus]],'1.2 Ohjaus-laskentataulu'!A:AY,COLUMN('1.2 Ohjaus-laskentataulu'!AX:AX),FALSE),0)</f>
        <v>784728</v>
      </c>
      <c r="V102" s="141">
        <f>IFERROR(Vertailu[[#This Row],[Rahoitus ml. hark. kor. + alv 2021, €]]-Vertailu[[#This Row],[Rahoitus ml. hark. kor. + alv 2020, €]],0)</f>
        <v>-48579</v>
      </c>
      <c r="W102" s="43">
        <f>IFERROR(Vertailu[[#This Row],[Muutos, € 3]]/Vertailu[[#This Row],[Rahoitus ml. hark. kor. + alv 2020, €]],0)</f>
        <v>-5.8296642173892695E-2</v>
      </c>
      <c r="X102" s="18">
        <f>IFERROR(VLOOKUP(Vertailu[[#This Row],[Y-tunnus]],'Suoritepäätös 2020'!$B:$N,COLUMN('Suoritepäätös 2020'!G:G),FALSE),0)</f>
        <v>490443</v>
      </c>
      <c r="Y102" s="18">
        <f>IFERROR(VLOOKUP(Vertailu[[#This Row],[Y-tunnus]],'1.2 Ohjaus-laskentataulu'!A:AY,COLUMN('1.2 Ohjaus-laskentataulu'!AS:AS),FALSE),0)</f>
        <v>498816</v>
      </c>
      <c r="Z102" s="18">
        <f>Vertailu[[#This Row],[Perusrahoitus 2021, €]]-Vertailu[[#This Row],[Perusrahoitus 2020, €]]</f>
        <v>8373</v>
      </c>
      <c r="AA102" s="43">
        <f>IFERROR(Vertailu[[#This Row],[Perusrahoituksen muutos, €]]/Vertailu[[#This Row],[Perusrahoitus 2020, €]],0)</f>
        <v>1.7072320330802967E-2</v>
      </c>
      <c r="AB102" s="18">
        <f>IFERROR(VLOOKUP(Vertailu[[#This Row],[Y-tunnus]],'Suoritepäätös 2020'!$B:$N,COLUMN('Suoritepäätös 2020'!M:M),FALSE),0)</f>
        <v>204520</v>
      </c>
      <c r="AC102" s="18">
        <f>IFERROR(VLOOKUP(Vertailu[[#This Row],[Y-tunnus]],'1.2 Ohjaus-laskentataulu'!A:AY,COLUMN('1.2 Ohjaus-laskentataulu'!O:O),FALSE),0)</f>
        <v>151108</v>
      </c>
      <c r="AD102" s="18">
        <f>Vertailu[[#This Row],[Suoritusrahoitus 2021, €]]-Vertailu[[#This Row],[Suoritusrahoitus 2020, €]]</f>
        <v>-53412</v>
      </c>
      <c r="AE102" s="43">
        <f>IFERROR(Vertailu[[#This Row],[Suoritusrahoituksen muutos, €]]/Vertailu[[#This Row],[Suoritusrahoitus 2020, €]],0)</f>
        <v>-0.26115783297477019</v>
      </c>
      <c r="AF102" s="18">
        <f>IFERROR(VLOOKUP(Vertailu[[#This Row],[Y-tunnus]],'Suoritepäätös 2020'!$Q:$AC,COLUMN('Suoritepäätös 2020'!K:K),FALSE),0)</f>
        <v>109348</v>
      </c>
      <c r="AG102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104327</v>
      </c>
      <c r="AH102" s="18">
        <f>Vertailu[[#This Row],[Vaikuttavuusrahoitus 2021, €]]-Vertailu[[#This Row],[Vaikuttavuusrahoitus 2020, €]]</f>
        <v>-5021</v>
      </c>
      <c r="AI102" s="43">
        <f>IFERROR(Vertailu[[#This Row],[Vaikuttavuusrahoituksen muutos, €]]/Vertailu[[#This Row],[Vaikuttavuusrahoitus 2020, €]],0)</f>
        <v>-4.5917620806964918E-2</v>
      </c>
    </row>
    <row r="103" spans="1:35" ht="12.75" customHeight="1" x14ac:dyDescent="0.25">
      <c r="A103" s="22" t="s">
        <v>283</v>
      </c>
      <c r="B103" s="236" t="s">
        <v>102</v>
      </c>
      <c r="C103" s="142" t="s">
        <v>224</v>
      </c>
      <c r="D103" s="170" t="s">
        <v>391</v>
      </c>
      <c r="E103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0.7073818809360789</v>
      </c>
      <c r="F103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0.71196723052404864</v>
      </c>
      <c r="G103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0.20127373674994456</v>
      </c>
      <c r="H103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8.6759032726006838E-2</v>
      </c>
      <c r="I103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5.5935028897790173E-2</v>
      </c>
      <c r="J103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7.6018676679113755E-3</v>
      </c>
      <c r="K103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2.3222136160305287E-2</v>
      </c>
      <c r="L103" s="18">
        <f>IFERROR(VLOOKUP(Vertailu[[#This Row],[Y-tunnus]],'Suoritepäätös 2020'!$Q:$AC,COLUMN('Suoritepäätös 2020'!L:L),FALSE)-VLOOKUP(Vertailu[[#This Row],[Y-tunnus]],'Suoritepäätös 2020'!$B:$N,COLUMN('Suoritepäätös 2020'!F:F),FALSE),0)</f>
        <v>10335556</v>
      </c>
      <c r="M103" s="18">
        <f>IFERROR(VLOOKUP(Vertailu[[#This Row],[Y-tunnus]],'1.2 Ohjaus-laskentataulu'!A:AY,COLUMN('1.2 Ohjaus-laskentataulu'!Z:Z),FALSE),0)</f>
        <v>10854294</v>
      </c>
      <c r="N103" s="18">
        <f>IFERROR(Vertailu[[#This Row],[Rahoitus pl. hark. kor. 2021 ilman alv, €]]-Vertailu[[#This Row],[Rahoitus pl. hark. kor. 2020 ilman alv, €]],0)</f>
        <v>518738</v>
      </c>
      <c r="O103" s="43">
        <f>IFERROR(Vertailu[[#This Row],[Muutos, € 1]]/Vertailu[[#This Row],[Rahoitus pl. hark. kor. 2020 ilman alv, €]],0)</f>
        <v>5.0189655979804085E-2</v>
      </c>
      <c r="P103" s="135">
        <f>IFERROR(VLOOKUP(Vertailu[[#This Row],[Y-tunnus]],'Suoritepäätös 2020'!$Q:$AC,COLUMN('Suoritepäätös 2020'!L:L),FALSE),0)</f>
        <v>10335556</v>
      </c>
      <c r="Q103" s="138">
        <f>IFERROR(VLOOKUP(Vertailu[[#This Row],[Y-tunnus]],'1.2 Ohjaus-laskentataulu'!A:AY,COLUMN('1.2 Ohjaus-laskentataulu'!AV:AV),FALSE),0)</f>
        <v>10904294</v>
      </c>
      <c r="R103" s="18">
        <f>IFERROR(Vertailu[[#This Row],[Rahoitus ml. hark. kor. 
2021 ilman alv, €]]-Vertailu[[#This Row],[Rahoitus ml. hark. kor. 
2020 ilman alv, €]],0)</f>
        <v>568738</v>
      </c>
      <c r="S103" s="16">
        <f>IFERROR(Vertailu[[#This Row],[Muutos, € 2]]/Vertailu[[#This Row],[Rahoitus ml. hark. kor. 
2020 ilman alv, €]],0)</f>
        <v>5.502732509020318E-2</v>
      </c>
      <c r="T103" s="138">
        <f>IFERROR(VLOOKUP(Vertailu[[#This Row],[Y-tunnus]],'Suoritepäätös 2020'!$Q:$AC,COLUMN('Suoritepäätös 2020'!L:L),FALSE)+VLOOKUP(Vertailu[[#This Row],[Y-tunnus]],'Suoritepäätös 2020'!$Q:$AC,COLUMN('Suoritepäätös 2020'!M:M),FALSE),0)</f>
        <v>10335556</v>
      </c>
      <c r="U103" s="135">
        <f>IFERROR(VLOOKUP(Vertailu[[#This Row],[Y-tunnus]],'1.2 Ohjaus-laskentataulu'!A:AY,COLUMN('1.2 Ohjaus-laskentataulu'!AX:AX),FALSE),0)</f>
        <v>10904294</v>
      </c>
      <c r="V103" s="141">
        <f>IFERROR(Vertailu[[#This Row],[Rahoitus ml. hark. kor. + alv 2021, €]]-Vertailu[[#This Row],[Rahoitus ml. hark. kor. + alv 2020, €]],0)</f>
        <v>568738</v>
      </c>
      <c r="W103" s="43">
        <f>IFERROR(Vertailu[[#This Row],[Muutos, € 3]]/Vertailu[[#This Row],[Rahoitus ml. hark. kor. + alv 2020, €]],0)</f>
        <v>5.502732509020318E-2</v>
      </c>
      <c r="X103" s="18">
        <f>IFERROR(VLOOKUP(Vertailu[[#This Row],[Y-tunnus]],'Suoritepäätös 2020'!$B:$N,COLUMN('Suoritepäätös 2020'!G:G),FALSE),0)</f>
        <v>7205563</v>
      </c>
      <c r="Y103" s="18">
        <f>IFERROR(VLOOKUP(Vertailu[[#This Row],[Y-tunnus]],'1.2 Ohjaus-laskentataulu'!A:AY,COLUMN('1.2 Ohjaus-laskentataulu'!AS:AS),FALSE),0)</f>
        <v>7763500</v>
      </c>
      <c r="Z103" s="18">
        <f>Vertailu[[#This Row],[Perusrahoitus 2021, €]]-Vertailu[[#This Row],[Perusrahoitus 2020, €]]</f>
        <v>557937</v>
      </c>
      <c r="AA103" s="43">
        <f>IFERROR(Vertailu[[#This Row],[Perusrahoituksen muutos, €]]/Vertailu[[#This Row],[Perusrahoitus 2020, €]],0)</f>
        <v>7.7431423471004276E-2</v>
      </c>
      <c r="AB103" s="18">
        <f>IFERROR(VLOOKUP(Vertailu[[#This Row],[Y-tunnus]],'Suoritepäätös 2020'!$B:$N,COLUMN('Suoritepäätös 2020'!M:M),FALSE),0)</f>
        <v>2168674</v>
      </c>
      <c r="AC103" s="18">
        <f>IFERROR(VLOOKUP(Vertailu[[#This Row],[Y-tunnus]],'1.2 Ohjaus-laskentataulu'!A:AY,COLUMN('1.2 Ohjaus-laskentataulu'!O:O),FALSE),0)</f>
        <v>2194748</v>
      </c>
      <c r="AD103" s="18">
        <f>Vertailu[[#This Row],[Suoritusrahoitus 2021, €]]-Vertailu[[#This Row],[Suoritusrahoitus 2020, €]]</f>
        <v>26074</v>
      </c>
      <c r="AE103" s="43">
        <f>IFERROR(Vertailu[[#This Row],[Suoritusrahoituksen muutos, €]]/Vertailu[[#This Row],[Suoritusrahoitus 2020, €]],0)</f>
        <v>1.2023014985193717E-2</v>
      </c>
      <c r="AF103" s="18">
        <f>IFERROR(VLOOKUP(Vertailu[[#This Row],[Y-tunnus]],'Suoritepäätös 2020'!$Q:$AC,COLUMN('Suoritepäätös 2020'!K:K),FALSE),0)</f>
        <v>961319</v>
      </c>
      <c r="AG103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946046</v>
      </c>
      <c r="AH103" s="18">
        <f>Vertailu[[#This Row],[Vaikuttavuusrahoitus 2021, €]]-Vertailu[[#This Row],[Vaikuttavuusrahoitus 2020, €]]</f>
        <v>-15273</v>
      </c>
      <c r="AI103" s="43">
        <f>IFERROR(Vertailu[[#This Row],[Vaikuttavuusrahoituksen muutos, €]]/Vertailu[[#This Row],[Vaikuttavuusrahoitus 2020, €]],0)</f>
        <v>-1.5887546173538648E-2</v>
      </c>
    </row>
    <row r="104" spans="1:35" ht="12.75" customHeight="1" x14ac:dyDescent="0.25">
      <c r="A104" s="22" t="s">
        <v>282</v>
      </c>
      <c r="B104" s="236" t="s">
        <v>103</v>
      </c>
      <c r="C104" s="142" t="s">
        <v>224</v>
      </c>
      <c r="D104" s="170" t="s">
        <v>392</v>
      </c>
      <c r="E104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0.67185143737864006</v>
      </c>
      <c r="F104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0.68992439719449827</v>
      </c>
      <c r="G104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0.17707307692863783</v>
      </c>
      <c r="H104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0.13300252587686387</v>
      </c>
      <c r="I104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0.10638177898649732</v>
      </c>
      <c r="J104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6.2546899330722149E-3</v>
      </c>
      <c r="K104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2.0366056957294317E-2</v>
      </c>
      <c r="L104" s="18">
        <f>IFERROR(VLOOKUP(Vertailu[[#This Row],[Y-tunnus]],'Suoritepäätös 2020'!$Q:$AC,COLUMN('Suoritepäätös 2020'!L:L),FALSE)-VLOOKUP(Vertailu[[#This Row],[Y-tunnus]],'Suoritepäätös 2020'!$B:$N,COLUMN('Suoritepäätös 2020'!F:F),FALSE),0)</f>
        <v>1374270</v>
      </c>
      <c r="M104" s="18">
        <f>IFERROR(VLOOKUP(Vertailu[[#This Row],[Y-tunnus]],'1.2 Ohjaus-laskentataulu'!A:AY,COLUMN('1.2 Ohjaus-laskentataulu'!Z:Z),FALSE),0)</f>
        <v>1358282</v>
      </c>
      <c r="N104" s="18">
        <f>IFERROR(Vertailu[[#This Row],[Rahoitus pl. hark. kor. 2021 ilman alv, €]]-Vertailu[[#This Row],[Rahoitus pl. hark. kor. 2020 ilman alv, €]],0)</f>
        <v>-15988</v>
      </c>
      <c r="O104" s="43">
        <f>IFERROR(Vertailu[[#This Row],[Muutos, € 1]]/Vertailu[[#This Row],[Rahoitus pl. hark. kor. 2020 ilman alv, €]],0)</f>
        <v>-1.1633812860646015E-2</v>
      </c>
      <c r="P104" s="135">
        <f>IFERROR(VLOOKUP(Vertailu[[#This Row],[Y-tunnus]],'Suoritepäätös 2020'!$Q:$AC,COLUMN('Suoritepäätös 2020'!L:L),FALSE),0)</f>
        <v>1374270</v>
      </c>
      <c r="Q104" s="138">
        <f>IFERROR(VLOOKUP(Vertailu[[#This Row],[Y-tunnus]],'1.2 Ohjaus-laskentataulu'!A:AY,COLUMN('1.2 Ohjaus-laskentataulu'!AV:AV),FALSE),0)</f>
        <v>1383282</v>
      </c>
      <c r="R104" s="18">
        <f>IFERROR(Vertailu[[#This Row],[Rahoitus ml. hark. kor. 
2021 ilman alv, €]]-Vertailu[[#This Row],[Rahoitus ml. hark. kor. 
2020 ilman alv, €]],0)</f>
        <v>9012</v>
      </c>
      <c r="S104" s="16">
        <f>IFERROR(Vertailu[[#This Row],[Muutos, € 2]]/Vertailu[[#This Row],[Rahoitus ml. hark. kor. 
2020 ilman alv, €]],0)</f>
        <v>6.5576633412648168E-3</v>
      </c>
      <c r="T104" s="138">
        <f>IFERROR(VLOOKUP(Vertailu[[#This Row],[Y-tunnus]],'Suoritepäätös 2020'!$Q:$AC,COLUMN('Suoritepäätös 2020'!L:L),FALSE)+VLOOKUP(Vertailu[[#This Row],[Y-tunnus]],'Suoritepäätös 2020'!$Q:$AC,COLUMN('Suoritepäätös 2020'!M:M),FALSE),0)</f>
        <v>1422544</v>
      </c>
      <c r="U104" s="135">
        <f>IFERROR(VLOOKUP(Vertailu[[#This Row],[Y-tunnus]],'1.2 Ohjaus-laskentataulu'!A:AY,COLUMN('1.2 Ohjaus-laskentataulu'!AX:AX),FALSE),0)</f>
        <v>1445631</v>
      </c>
      <c r="V104" s="141">
        <f>IFERROR(Vertailu[[#This Row],[Rahoitus ml. hark. kor. + alv 2021, €]]-Vertailu[[#This Row],[Rahoitus ml. hark. kor. + alv 2020, €]],0)</f>
        <v>23087</v>
      </c>
      <c r="W104" s="43">
        <f>IFERROR(Vertailu[[#This Row],[Muutos, € 3]]/Vertailu[[#This Row],[Rahoitus ml. hark. kor. + alv 2020, €]],0)</f>
        <v>1.6229374978911023E-2</v>
      </c>
      <c r="X104" s="18">
        <f>IFERROR(VLOOKUP(Vertailu[[#This Row],[Y-tunnus]],'Suoritepäätös 2020'!$B:$N,COLUMN('Suoritepäätös 2020'!G:G),FALSE),0)</f>
        <v>988559</v>
      </c>
      <c r="Y104" s="18">
        <f>IFERROR(VLOOKUP(Vertailu[[#This Row],[Y-tunnus]],'1.2 Ohjaus-laskentataulu'!A:AY,COLUMN('1.2 Ohjaus-laskentataulu'!AS:AS),FALSE),0)</f>
        <v>954360</v>
      </c>
      <c r="Z104" s="18">
        <f>Vertailu[[#This Row],[Perusrahoitus 2021, €]]-Vertailu[[#This Row],[Perusrahoitus 2020, €]]</f>
        <v>-34199</v>
      </c>
      <c r="AA104" s="43">
        <f>IFERROR(Vertailu[[#This Row],[Perusrahoituksen muutos, €]]/Vertailu[[#This Row],[Perusrahoitus 2020, €]],0)</f>
        <v>-3.4594799096462632E-2</v>
      </c>
      <c r="AB104" s="18">
        <f>IFERROR(VLOOKUP(Vertailu[[#This Row],[Y-tunnus]],'Suoritepäätös 2020'!$B:$N,COLUMN('Suoritepäätös 2020'!M:M),FALSE),0)</f>
        <v>215095</v>
      </c>
      <c r="AC104" s="18">
        <f>IFERROR(VLOOKUP(Vertailu[[#This Row],[Y-tunnus]],'1.2 Ohjaus-laskentataulu'!A:AY,COLUMN('1.2 Ohjaus-laskentataulu'!O:O),FALSE),0)</f>
        <v>244942</v>
      </c>
      <c r="AD104" s="18">
        <f>Vertailu[[#This Row],[Suoritusrahoitus 2021, €]]-Vertailu[[#This Row],[Suoritusrahoitus 2020, €]]</f>
        <v>29847</v>
      </c>
      <c r="AE104" s="43">
        <f>IFERROR(Vertailu[[#This Row],[Suoritusrahoituksen muutos, €]]/Vertailu[[#This Row],[Suoritusrahoitus 2020, €]],0)</f>
        <v>0.13876194239754527</v>
      </c>
      <c r="AF104" s="18">
        <f>IFERROR(VLOOKUP(Vertailu[[#This Row],[Y-tunnus]],'Suoritepäätös 2020'!$Q:$AC,COLUMN('Suoritepäätös 2020'!K:K),FALSE),0)</f>
        <v>170616</v>
      </c>
      <c r="AG104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183980</v>
      </c>
      <c r="AH104" s="18">
        <f>Vertailu[[#This Row],[Vaikuttavuusrahoitus 2021, €]]-Vertailu[[#This Row],[Vaikuttavuusrahoitus 2020, €]]</f>
        <v>13364</v>
      </c>
      <c r="AI104" s="43">
        <f>IFERROR(Vertailu[[#This Row],[Vaikuttavuusrahoituksen muutos, €]]/Vertailu[[#This Row],[Vaikuttavuusrahoitus 2020, €]],0)</f>
        <v>7.83279411075163E-2</v>
      </c>
    </row>
    <row r="105" spans="1:35" ht="12.75" customHeight="1" x14ac:dyDescent="0.25">
      <c r="A105" s="22" t="s">
        <v>281</v>
      </c>
      <c r="B105" s="236" t="s">
        <v>104</v>
      </c>
      <c r="C105" s="142" t="s">
        <v>232</v>
      </c>
      <c r="D105" s="170" t="s">
        <v>391</v>
      </c>
      <c r="E105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0.6453769573384488</v>
      </c>
      <c r="F105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0.6453769573384488</v>
      </c>
      <c r="G105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0.22951724181524166</v>
      </c>
      <c r="H105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0.12510580084630951</v>
      </c>
      <c r="I105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9.4666336677833363E-2</v>
      </c>
      <c r="J105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7.4375123153218349E-3</v>
      </c>
      <c r="K105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2.3001951853154321E-2</v>
      </c>
      <c r="L105" s="18">
        <f>IFERROR(VLOOKUP(Vertailu[[#This Row],[Y-tunnus]],'Suoritepäätös 2020'!$Q:$AC,COLUMN('Suoritepäätös 2020'!L:L),FALSE)-VLOOKUP(Vertailu[[#This Row],[Y-tunnus]],'Suoritepäätös 2020'!$B:$N,COLUMN('Suoritepäätös 2020'!F:F),FALSE),0)</f>
        <v>15886688</v>
      </c>
      <c r="M105" s="18">
        <f>IFERROR(VLOOKUP(Vertailu[[#This Row],[Y-tunnus]],'1.2 Ohjaus-laskentataulu'!A:AY,COLUMN('1.2 Ohjaus-laskentataulu'!Z:Z),FALSE),0)</f>
        <v>16453082</v>
      </c>
      <c r="N105" s="18">
        <f>IFERROR(Vertailu[[#This Row],[Rahoitus pl. hark. kor. 2021 ilman alv, €]]-Vertailu[[#This Row],[Rahoitus pl. hark. kor. 2020 ilman alv, €]],0)</f>
        <v>566394</v>
      </c>
      <c r="O105" s="43">
        <f>IFERROR(Vertailu[[#This Row],[Muutos, € 1]]/Vertailu[[#This Row],[Rahoitus pl. hark. kor. 2020 ilman alv, €]],0)</f>
        <v>3.5652113266150878E-2</v>
      </c>
      <c r="P105" s="135">
        <f>IFERROR(VLOOKUP(Vertailu[[#This Row],[Y-tunnus]],'Suoritepäätös 2020'!$Q:$AC,COLUMN('Suoritepäätös 2020'!L:L),FALSE),0)</f>
        <v>15966688</v>
      </c>
      <c r="Q105" s="138">
        <f>IFERROR(VLOOKUP(Vertailu[[#This Row],[Y-tunnus]],'1.2 Ohjaus-laskentataulu'!A:AY,COLUMN('1.2 Ohjaus-laskentataulu'!AV:AV),FALSE),0)</f>
        <v>16453082</v>
      </c>
      <c r="R105" s="18">
        <f>IFERROR(Vertailu[[#This Row],[Rahoitus ml. hark. kor. 
2021 ilman alv, €]]-Vertailu[[#This Row],[Rahoitus ml. hark. kor. 
2020 ilman alv, €]],0)</f>
        <v>486394</v>
      </c>
      <c r="S105" s="16">
        <f>IFERROR(Vertailu[[#This Row],[Muutos, € 2]]/Vertailu[[#This Row],[Rahoitus ml. hark. kor. 
2020 ilman alv, €]],0)</f>
        <v>3.0463049068159907E-2</v>
      </c>
      <c r="T105" s="138">
        <f>IFERROR(VLOOKUP(Vertailu[[#This Row],[Y-tunnus]],'Suoritepäätös 2020'!$Q:$AC,COLUMN('Suoritepäätös 2020'!L:L),FALSE)+VLOOKUP(Vertailu[[#This Row],[Y-tunnus]],'Suoritepäätös 2020'!$Q:$AC,COLUMN('Suoritepäätös 2020'!M:M),FALSE),0)</f>
        <v>15966688</v>
      </c>
      <c r="U105" s="135">
        <f>IFERROR(VLOOKUP(Vertailu[[#This Row],[Y-tunnus]],'1.2 Ohjaus-laskentataulu'!A:AY,COLUMN('1.2 Ohjaus-laskentataulu'!AX:AX),FALSE),0)</f>
        <v>16453082</v>
      </c>
      <c r="V105" s="141">
        <f>IFERROR(Vertailu[[#This Row],[Rahoitus ml. hark. kor. + alv 2021, €]]-Vertailu[[#This Row],[Rahoitus ml. hark. kor. + alv 2020, €]],0)</f>
        <v>486394</v>
      </c>
      <c r="W105" s="43">
        <f>IFERROR(Vertailu[[#This Row],[Muutos, € 3]]/Vertailu[[#This Row],[Rahoitus ml. hark. kor. + alv 2020, €]],0)</f>
        <v>3.0463049068159907E-2</v>
      </c>
      <c r="X105" s="18">
        <f>IFERROR(VLOOKUP(Vertailu[[#This Row],[Y-tunnus]],'Suoritepäätös 2020'!$B:$N,COLUMN('Suoritepäätös 2020'!G:G),FALSE),0)</f>
        <v>9865849</v>
      </c>
      <c r="Y105" s="18">
        <f>IFERROR(VLOOKUP(Vertailu[[#This Row],[Y-tunnus]],'1.2 Ohjaus-laskentataulu'!A:AY,COLUMN('1.2 Ohjaus-laskentataulu'!AS:AS),FALSE),0)</f>
        <v>10618440</v>
      </c>
      <c r="Z105" s="18">
        <f>Vertailu[[#This Row],[Perusrahoitus 2021, €]]-Vertailu[[#This Row],[Perusrahoitus 2020, €]]</f>
        <v>752591</v>
      </c>
      <c r="AA105" s="43">
        <f>IFERROR(Vertailu[[#This Row],[Perusrahoituksen muutos, €]]/Vertailu[[#This Row],[Perusrahoitus 2020, €]],0)</f>
        <v>7.6282436514080038E-2</v>
      </c>
      <c r="AB105" s="18">
        <f>IFERROR(VLOOKUP(Vertailu[[#This Row],[Y-tunnus]],'Suoritepäätös 2020'!$B:$N,COLUMN('Suoritepäätös 2020'!M:M),FALSE),0)</f>
        <v>3834720</v>
      </c>
      <c r="AC105" s="18">
        <f>IFERROR(VLOOKUP(Vertailu[[#This Row],[Y-tunnus]],'1.2 Ohjaus-laskentataulu'!A:AY,COLUMN('1.2 Ohjaus-laskentataulu'!O:O),FALSE),0)</f>
        <v>3776266</v>
      </c>
      <c r="AD105" s="18">
        <f>Vertailu[[#This Row],[Suoritusrahoitus 2021, €]]-Vertailu[[#This Row],[Suoritusrahoitus 2020, €]]</f>
        <v>-58454</v>
      </c>
      <c r="AE105" s="43">
        <f>IFERROR(Vertailu[[#This Row],[Suoritusrahoituksen muutos, €]]/Vertailu[[#This Row],[Suoritusrahoitus 2020, €]],0)</f>
        <v>-1.5243355447073059E-2</v>
      </c>
      <c r="AF105" s="18">
        <f>IFERROR(VLOOKUP(Vertailu[[#This Row],[Y-tunnus]],'Suoritepäätös 2020'!$Q:$AC,COLUMN('Suoritepäätös 2020'!K:K),FALSE),0)</f>
        <v>2266119</v>
      </c>
      <c r="AG105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2058376</v>
      </c>
      <c r="AH105" s="18">
        <f>Vertailu[[#This Row],[Vaikuttavuusrahoitus 2021, €]]-Vertailu[[#This Row],[Vaikuttavuusrahoitus 2020, €]]</f>
        <v>-207743</v>
      </c>
      <c r="AI105" s="43">
        <f>IFERROR(Vertailu[[#This Row],[Vaikuttavuusrahoituksen muutos, €]]/Vertailu[[#This Row],[Vaikuttavuusrahoitus 2020, €]],0)</f>
        <v>-9.1673473458366489E-2</v>
      </c>
    </row>
    <row r="106" spans="1:35" ht="12.75" customHeight="1" x14ac:dyDescent="0.25">
      <c r="A106" s="22" t="s">
        <v>280</v>
      </c>
      <c r="B106" s="236" t="s">
        <v>105</v>
      </c>
      <c r="C106" s="142" t="s">
        <v>216</v>
      </c>
      <c r="D106" s="170" t="s">
        <v>392</v>
      </c>
      <c r="E106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0.70502699783343792</v>
      </c>
      <c r="F106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0.76739205544004163</v>
      </c>
      <c r="G106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0.12452431052310563</v>
      </c>
      <c r="H106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0.10808363403685275</v>
      </c>
      <c r="I106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5.4106676678337247E-2</v>
      </c>
      <c r="J106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4.3505864186366748E-3</v>
      </c>
      <c r="K106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4.9626370939878837E-2</v>
      </c>
      <c r="L106" s="18">
        <f>IFERROR(VLOOKUP(Vertailu[[#This Row],[Y-tunnus]],'Suoritepäätös 2020'!$Q:$AC,COLUMN('Suoritepäätös 2020'!L:L),FALSE)-VLOOKUP(Vertailu[[#This Row],[Y-tunnus]],'Suoritepäätös 2020'!$B:$N,COLUMN('Suoritepäätös 2020'!F:F),FALSE),0)</f>
        <v>783020</v>
      </c>
      <c r="M106" s="18">
        <f>IFERROR(VLOOKUP(Vertailu[[#This Row],[Y-tunnus]],'1.2 Ohjaus-laskentataulu'!A:AY,COLUMN('1.2 Ohjaus-laskentataulu'!Z:Z),FALSE),0)</f>
        <v>751731</v>
      </c>
      <c r="N106" s="18">
        <f>IFERROR(Vertailu[[#This Row],[Rahoitus pl. hark. kor. 2021 ilman alv, €]]-Vertailu[[#This Row],[Rahoitus pl. hark. kor. 2020 ilman alv, €]],0)</f>
        <v>-31289</v>
      </c>
      <c r="O106" s="43">
        <f>IFERROR(Vertailu[[#This Row],[Muutos, € 1]]/Vertailu[[#This Row],[Rahoitus pl. hark. kor. 2020 ilman alv, €]],0)</f>
        <v>-3.9959388010523358E-2</v>
      </c>
      <c r="P106" s="135">
        <f>IFERROR(VLOOKUP(Vertailu[[#This Row],[Y-tunnus]],'Suoritepäätös 2020'!$Q:$AC,COLUMN('Suoritepäätös 2020'!L:L),FALSE),0)</f>
        <v>783020</v>
      </c>
      <c r="Q106" s="138">
        <f>IFERROR(VLOOKUP(Vertailu[[#This Row],[Y-tunnus]],'1.2 Ohjaus-laskentataulu'!A:AY,COLUMN('1.2 Ohjaus-laskentataulu'!AV:AV),FALSE),0)</f>
        <v>801731</v>
      </c>
      <c r="R106" s="18">
        <f>IFERROR(Vertailu[[#This Row],[Rahoitus ml. hark. kor. 
2021 ilman alv, €]]-Vertailu[[#This Row],[Rahoitus ml. hark. kor. 
2020 ilman alv, €]],0)</f>
        <v>18711</v>
      </c>
      <c r="S106" s="16">
        <f>IFERROR(Vertailu[[#This Row],[Muutos, € 2]]/Vertailu[[#This Row],[Rahoitus ml. hark. kor. 
2020 ilman alv, €]],0)</f>
        <v>2.3895941355265512E-2</v>
      </c>
      <c r="T106" s="138">
        <f>IFERROR(VLOOKUP(Vertailu[[#This Row],[Y-tunnus]],'Suoritepäätös 2020'!$Q:$AC,COLUMN('Suoritepäätös 2020'!L:L),FALSE)+VLOOKUP(Vertailu[[#This Row],[Y-tunnus]],'Suoritepäätös 2020'!$Q:$AC,COLUMN('Suoritepäätös 2020'!M:M),FALSE),0)</f>
        <v>938515</v>
      </c>
      <c r="U106" s="135">
        <f>IFERROR(VLOOKUP(Vertailu[[#This Row],[Y-tunnus]],'1.2 Ohjaus-laskentataulu'!A:AY,COLUMN('1.2 Ohjaus-laskentataulu'!AX:AX),FALSE),0)</f>
        <v>965929</v>
      </c>
      <c r="V106" s="141">
        <f>IFERROR(Vertailu[[#This Row],[Rahoitus ml. hark. kor. + alv 2021, €]]-Vertailu[[#This Row],[Rahoitus ml. hark. kor. + alv 2020, €]],0)</f>
        <v>27414</v>
      </c>
      <c r="W106" s="43">
        <f>IFERROR(Vertailu[[#This Row],[Muutos, € 3]]/Vertailu[[#This Row],[Rahoitus ml. hark. kor. + alv 2020, €]],0)</f>
        <v>2.9209975333372402E-2</v>
      </c>
      <c r="X106" s="18">
        <f>IFERROR(VLOOKUP(Vertailu[[#This Row],[Y-tunnus]],'Suoritepäätös 2020'!$B:$N,COLUMN('Suoritepäätös 2020'!G:G),FALSE),0)</f>
        <v>457393</v>
      </c>
      <c r="Y106" s="18">
        <f>IFERROR(VLOOKUP(Vertailu[[#This Row],[Y-tunnus]],'1.2 Ohjaus-laskentataulu'!A:AY,COLUMN('1.2 Ohjaus-laskentataulu'!AS:AS),FALSE),0)</f>
        <v>615242</v>
      </c>
      <c r="Z106" s="18">
        <f>Vertailu[[#This Row],[Perusrahoitus 2021, €]]-Vertailu[[#This Row],[Perusrahoitus 2020, €]]</f>
        <v>157849</v>
      </c>
      <c r="AA106" s="43">
        <f>IFERROR(Vertailu[[#This Row],[Perusrahoituksen muutos, €]]/Vertailu[[#This Row],[Perusrahoitus 2020, €]],0)</f>
        <v>0.34510584989276183</v>
      </c>
      <c r="AB106" s="18">
        <f>IFERROR(VLOOKUP(Vertailu[[#This Row],[Y-tunnus]],'Suoritepäätös 2020'!$B:$N,COLUMN('Suoritepäätös 2020'!M:M),FALSE),0)</f>
        <v>200457</v>
      </c>
      <c r="AC106" s="18">
        <f>IFERROR(VLOOKUP(Vertailu[[#This Row],[Y-tunnus]],'1.2 Ohjaus-laskentataulu'!A:AY,COLUMN('1.2 Ohjaus-laskentataulu'!O:O),FALSE),0)</f>
        <v>99835</v>
      </c>
      <c r="AD106" s="18">
        <f>Vertailu[[#This Row],[Suoritusrahoitus 2021, €]]-Vertailu[[#This Row],[Suoritusrahoitus 2020, €]]</f>
        <v>-100622</v>
      </c>
      <c r="AE106" s="43">
        <f>IFERROR(Vertailu[[#This Row],[Suoritusrahoituksen muutos, €]]/Vertailu[[#This Row],[Suoritusrahoitus 2020, €]],0)</f>
        <v>-0.50196301451184044</v>
      </c>
      <c r="AF106" s="18">
        <f>IFERROR(VLOOKUP(Vertailu[[#This Row],[Y-tunnus]],'Suoritepäätös 2020'!$Q:$AC,COLUMN('Suoritepäätös 2020'!K:K),FALSE),0)</f>
        <v>125170</v>
      </c>
      <c r="AG106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86654</v>
      </c>
      <c r="AH106" s="18">
        <f>Vertailu[[#This Row],[Vaikuttavuusrahoitus 2021, €]]-Vertailu[[#This Row],[Vaikuttavuusrahoitus 2020, €]]</f>
        <v>-38516</v>
      </c>
      <c r="AI106" s="43">
        <f>IFERROR(Vertailu[[#This Row],[Vaikuttavuusrahoituksen muutos, €]]/Vertailu[[#This Row],[Vaikuttavuusrahoitus 2020, €]],0)</f>
        <v>-0.30770951505951905</v>
      </c>
    </row>
    <row r="107" spans="1:35" ht="12.75" customHeight="1" x14ac:dyDescent="0.25">
      <c r="A107" s="22" t="s">
        <v>306</v>
      </c>
      <c r="B107" s="236" t="s">
        <v>529</v>
      </c>
      <c r="C107" s="142" t="s">
        <v>216</v>
      </c>
      <c r="D107" s="170" t="s">
        <v>392</v>
      </c>
      <c r="E107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0.5418229537790098</v>
      </c>
      <c r="F107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0.54520963147914991</v>
      </c>
      <c r="G107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0.23699699611364219</v>
      </c>
      <c r="H107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0.21779337240720795</v>
      </c>
      <c r="I107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0.14407139813279879</v>
      </c>
      <c r="J107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1.3535292858599821E-2</v>
      </c>
      <c r="K107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6.0186681415809323E-2</v>
      </c>
      <c r="L107" s="18">
        <f>IFERROR(VLOOKUP(Vertailu[[#This Row],[Y-tunnus]],'Suoritepäätös 2020'!$Q:$AC,COLUMN('Suoritepäätös 2020'!L:L),FALSE)-VLOOKUP(Vertailu[[#This Row],[Y-tunnus]],'Suoritepäätös 2020'!$B:$N,COLUMN('Suoritepäätös 2020'!F:F),FALSE),0)</f>
        <v>9362608</v>
      </c>
      <c r="M107" s="18">
        <f>IFERROR(VLOOKUP(Vertailu[[#This Row],[Y-tunnus]],'1.2 Ohjaus-laskentataulu'!A:AY,COLUMN('1.2 Ohjaus-laskentataulu'!Z:Z),FALSE),0)</f>
        <v>10299612</v>
      </c>
      <c r="N107" s="18">
        <f>IFERROR(Vertailu[[#This Row],[Rahoitus pl. hark. kor. 2021 ilman alv, €]]-Vertailu[[#This Row],[Rahoitus pl. hark. kor. 2020 ilman alv, €]],0)</f>
        <v>937004</v>
      </c>
      <c r="O107" s="43">
        <f>IFERROR(Vertailu[[#This Row],[Muutos, € 1]]/Vertailu[[#This Row],[Rahoitus pl. hark. kor. 2020 ilman alv, €]],0)</f>
        <v>0.10007937959166933</v>
      </c>
      <c r="P107" s="135">
        <f>IFERROR(VLOOKUP(Vertailu[[#This Row],[Y-tunnus]],'Suoritepäätös 2020'!$Q:$AC,COLUMN('Suoritepäätös 2020'!L:L),FALSE),0)</f>
        <v>9362608</v>
      </c>
      <c r="Q107" s="138">
        <f>IFERROR(VLOOKUP(Vertailu[[#This Row],[Y-tunnus]],'1.2 Ohjaus-laskentataulu'!A:AY,COLUMN('1.2 Ohjaus-laskentataulu'!AV:AV),FALSE),0)</f>
        <v>10334612</v>
      </c>
      <c r="R107" s="18">
        <f>IFERROR(Vertailu[[#This Row],[Rahoitus ml. hark. kor. 
2021 ilman alv, €]]-Vertailu[[#This Row],[Rahoitus ml. hark. kor. 
2020 ilman alv, €]],0)</f>
        <v>972004</v>
      </c>
      <c r="S107" s="16">
        <f>IFERROR(Vertailu[[#This Row],[Muutos, € 2]]/Vertailu[[#This Row],[Rahoitus ml. hark. kor. 
2020 ilman alv, €]],0)</f>
        <v>0.10381765422625833</v>
      </c>
      <c r="T107" s="138">
        <f>IFERROR(VLOOKUP(Vertailu[[#This Row],[Y-tunnus]],'Suoritepäätös 2020'!$Q:$AC,COLUMN('Suoritepäätös 2020'!L:L),FALSE)+VLOOKUP(Vertailu[[#This Row],[Y-tunnus]],'Suoritepäätös 2020'!$Q:$AC,COLUMN('Suoritepäätös 2020'!M:M),FALSE),0)</f>
        <v>10533640</v>
      </c>
      <c r="U107" s="135">
        <f>IFERROR(VLOOKUP(Vertailu[[#This Row],[Y-tunnus]],'1.2 Ohjaus-laskentataulu'!A:AY,COLUMN('1.2 Ohjaus-laskentataulu'!AX:AX),FALSE),0)</f>
        <v>11820464</v>
      </c>
      <c r="V107" s="141">
        <f>IFERROR(Vertailu[[#This Row],[Rahoitus ml. hark. kor. + alv 2021, €]]-Vertailu[[#This Row],[Rahoitus ml. hark. kor. + alv 2020, €]],0)</f>
        <v>1286824</v>
      </c>
      <c r="W107" s="43">
        <f>IFERROR(Vertailu[[#This Row],[Muutos, € 3]]/Vertailu[[#This Row],[Rahoitus ml. hark. kor. + alv 2020, €]],0)</f>
        <v>0.12216327879061749</v>
      </c>
      <c r="X107" s="18">
        <f>IFERROR(VLOOKUP(Vertailu[[#This Row],[Y-tunnus]],'Suoritepäätös 2020'!$B:$N,COLUMN('Suoritepäätös 2020'!G:G),FALSE),0)</f>
        <v>5358285</v>
      </c>
      <c r="Y107" s="18">
        <f>IFERROR(VLOOKUP(Vertailu[[#This Row],[Y-tunnus]],'1.2 Ohjaus-laskentataulu'!A:AY,COLUMN('1.2 Ohjaus-laskentataulu'!AS:AS),FALSE),0)</f>
        <v>5634530</v>
      </c>
      <c r="Z107" s="18">
        <f>Vertailu[[#This Row],[Perusrahoitus 2021, €]]-Vertailu[[#This Row],[Perusrahoitus 2020, €]]</f>
        <v>276245</v>
      </c>
      <c r="AA107" s="43">
        <f>IFERROR(Vertailu[[#This Row],[Perusrahoituksen muutos, €]]/Vertailu[[#This Row],[Perusrahoitus 2020, €]],0)</f>
        <v>5.1554741862368275E-2</v>
      </c>
      <c r="AB107" s="18">
        <f>IFERROR(VLOOKUP(Vertailu[[#This Row],[Y-tunnus]],'Suoritepäätös 2020'!$B:$N,COLUMN('Suoritepäätös 2020'!M:M),FALSE),0)</f>
        <v>2095188</v>
      </c>
      <c r="AC107" s="18">
        <f>IFERROR(VLOOKUP(Vertailu[[#This Row],[Y-tunnus]],'1.2 Ohjaus-laskentataulu'!A:AY,COLUMN('1.2 Ohjaus-laskentataulu'!O:O),FALSE),0)</f>
        <v>2449272</v>
      </c>
      <c r="AD107" s="18">
        <f>Vertailu[[#This Row],[Suoritusrahoitus 2021, €]]-Vertailu[[#This Row],[Suoritusrahoitus 2020, €]]</f>
        <v>354084</v>
      </c>
      <c r="AE107" s="43">
        <f>IFERROR(Vertailu[[#This Row],[Suoritusrahoituksen muutos, €]]/Vertailu[[#This Row],[Suoritusrahoitus 2020, €]],0)</f>
        <v>0.16899867696836751</v>
      </c>
      <c r="AF107" s="18">
        <f>IFERROR(VLOOKUP(Vertailu[[#This Row],[Y-tunnus]],'Suoritepäätös 2020'!$Q:$AC,COLUMN('Suoritepäätös 2020'!K:K),FALSE),0)</f>
        <v>1909135</v>
      </c>
      <c r="AG107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2250810</v>
      </c>
      <c r="AH107" s="18">
        <f>Vertailu[[#This Row],[Vaikuttavuusrahoitus 2021, €]]-Vertailu[[#This Row],[Vaikuttavuusrahoitus 2020, €]]</f>
        <v>341675</v>
      </c>
      <c r="AI107" s="43">
        <f>IFERROR(Vertailu[[#This Row],[Vaikuttavuusrahoituksen muutos, €]]/Vertailu[[#This Row],[Vaikuttavuusrahoitus 2020, €]],0)</f>
        <v>0.17896848572782961</v>
      </c>
    </row>
    <row r="108" spans="1:35" ht="12.75" customHeight="1" x14ac:dyDescent="0.25">
      <c r="A108" s="22" t="s">
        <v>279</v>
      </c>
      <c r="B108" s="236" t="s">
        <v>107</v>
      </c>
      <c r="C108" s="142" t="s">
        <v>224</v>
      </c>
      <c r="D108" s="170" t="s">
        <v>392</v>
      </c>
      <c r="E108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0.56259933994517419</v>
      </c>
      <c r="F108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0.59083094070516895</v>
      </c>
      <c r="G108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0.21327562794137991</v>
      </c>
      <c r="H108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0.19589343135345116</v>
      </c>
      <c r="I108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0.12695750861769614</v>
      </c>
      <c r="J108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6.0359162424868653E-3</v>
      </c>
      <c r="K108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6.2900006493268171E-2</v>
      </c>
      <c r="L108" s="18">
        <f>IFERROR(VLOOKUP(Vertailu[[#This Row],[Y-tunnus]],'Suoritepäätös 2020'!$Q:$AC,COLUMN('Suoritepäätös 2020'!L:L),FALSE)-VLOOKUP(Vertailu[[#This Row],[Y-tunnus]],'Suoritepäätös 2020'!$B:$N,COLUMN('Suoritepäätös 2020'!F:F),FALSE),0)</f>
        <v>317270</v>
      </c>
      <c r="M108" s="18">
        <f>IFERROR(VLOOKUP(Vertailu[[#This Row],[Y-tunnus]],'1.2 Ohjaus-laskentataulu'!A:AY,COLUMN('1.2 Ohjaus-laskentataulu'!Z:Z),FALSE),0)</f>
        <v>344213</v>
      </c>
      <c r="N108" s="18">
        <f>IFERROR(Vertailu[[#This Row],[Rahoitus pl. hark. kor. 2021 ilman alv, €]]-Vertailu[[#This Row],[Rahoitus pl. hark. kor. 2020 ilman alv, €]],0)</f>
        <v>26943</v>
      </c>
      <c r="O108" s="43">
        <f>IFERROR(Vertailu[[#This Row],[Muutos, € 1]]/Vertailu[[#This Row],[Rahoitus pl. hark. kor. 2020 ilman alv, €]],0)</f>
        <v>8.4921360355533146E-2</v>
      </c>
      <c r="P108" s="135">
        <f>IFERROR(VLOOKUP(Vertailu[[#This Row],[Y-tunnus]],'Suoritepäätös 2020'!$Q:$AC,COLUMN('Suoritepäätös 2020'!L:L),FALSE),0)</f>
        <v>317270</v>
      </c>
      <c r="Q108" s="138">
        <f>IFERROR(VLOOKUP(Vertailu[[#This Row],[Y-tunnus]],'1.2 Ohjaus-laskentataulu'!A:AY,COLUMN('1.2 Ohjaus-laskentataulu'!AV:AV),FALSE),0)</f>
        <v>354213</v>
      </c>
      <c r="R108" s="18">
        <f>IFERROR(Vertailu[[#This Row],[Rahoitus ml. hark. kor. 
2021 ilman alv, €]]-Vertailu[[#This Row],[Rahoitus ml. hark. kor. 
2020 ilman alv, €]],0)</f>
        <v>36943</v>
      </c>
      <c r="S108" s="16">
        <f>IFERROR(Vertailu[[#This Row],[Muutos, € 2]]/Vertailu[[#This Row],[Rahoitus ml. hark. kor. 
2020 ilman alv, €]],0)</f>
        <v>0.11644025593343209</v>
      </c>
      <c r="T108" s="138">
        <f>IFERROR(VLOOKUP(Vertailu[[#This Row],[Y-tunnus]],'Suoritepäätös 2020'!$Q:$AC,COLUMN('Suoritepäätös 2020'!L:L),FALSE)+VLOOKUP(Vertailu[[#This Row],[Y-tunnus]],'Suoritepäätös 2020'!$Q:$AC,COLUMN('Suoritepäätös 2020'!M:M),FALSE),0)</f>
        <v>324996</v>
      </c>
      <c r="U108" s="135">
        <f>IFERROR(VLOOKUP(Vertailu[[#This Row],[Y-tunnus]],'1.2 Ohjaus-laskentataulu'!A:AY,COLUMN('1.2 Ohjaus-laskentataulu'!AX:AX),FALSE),0)</f>
        <v>365169</v>
      </c>
      <c r="V108" s="141">
        <f>IFERROR(Vertailu[[#This Row],[Rahoitus ml. hark. kor. + alv 2021, €]]-Vertailu[[#This Row],[Rahoitus ml. hark. kor. + alv 2020, €]],0)</f>
        <v>40173</v>
      </c>
      <c r="W108" s="43">
        <f>IFERROR(Vertailu[[#This Row],[Muutos, € 3]]/Vertailu[[#This Row],[Rahoitus ml. hark. kor. + alv 2020, €]],0)</f>
        <v>0.12361075213233394</v>
      </c>
      <c r="X108" s="18">
        <f>IFERROR(VLOOKUP(Vertailu[[#This Row],[Y-tunnus]],'Suoritepäätös 2020'!$B:$N,COLUMN('Suoritepäätös 2020'!G:G),FALSE),0)</f>
        <v>182957</v>
      </c>
      <c r="Y108" s="18">
        <f>IFERROR(VLOOKUP(Vertailu[[#This Row],[Y-tunnus]],'1.2 Ohjaus-laskentataulu'!A:AY,COLUMN('1.2 Ohjaus-laskentataulu'!AS:AS),FALSE),0)</f>
        <v>209280</v>
      </c>
      <c r="Z108" s="18">
        <f>Vertailu[[#This Row],[Perusrahoitus 2021, €]]-Vertailu[[#This Row],[Perusrahoitus 2020, €]]</f>
        <v>26323</v>
      </c>
      <c r="AA108" s="43">
        <f>IFERROR(Vertailu[[#This Row],[Perusrahoituksen muutos, €]]/Vertailu[[#This Row],[Perusrahoitus 2020, €]],0)</f>
        <v>0.1438753368277792</v>
      </c>
      <c r="AB108" s="18">
        <f>IFERROR(VLOOKUP(Vertailu[[#This Row],[Y-tunnus]],'Suoritepäätös 2020'!$B:$N,COLUMN('Suoritepäätös 2020'!M:M),FALSE),0)</f>
        <v>66969</v>
      </c>
      <c r="AC108" s="18">
        <f>IFERROR(VLOOKUP(Vertailu[[#This Row],[Y-tunnus]],'1.2 Ohjaus-laskentataulu'!A:AY,COLUMN('1.2 Ohjaus-laskentataulu'!O:O),FALSE),0)</f>
        <v>75545</v>
      </c>
      <c r="AD108" s="18">
        <f>Vertailu[[#This Row],[Suoritusrahoitus 2021, €]]-Vertailu[[#This Row],[Suoritusrahoitus 2020, €]]</f>
        <v>8576</v>
      </c>
      <c r="AE108" s="43">
        <f>IFERROR(Vertailu[[#This Row],[Suoritusrahoituksen muutos, €]]/Vertailu[[#This Row],[Suoritusrahoitus 2020, €]],0)</f>
        <v>0.12805925129537546</v>
      </c>
      <c r="AF108" s="18">
        <f>IFERROR(VLOOKUP(Vertailu[[#This Row],[Y-tunnus]],'Suoritepäätös 2020'!$Q:$AC,COLUMN('Suoritepäätös 2020'!K:K),FALSE),0)</f>
        <v>67344</v>
      </c>
      <c r="AG108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69388</v>
      </c>
      <c r="AH108" s="18">
        <f>Vertailu[[#This Row],[Vaikuttavuusrahoitus 2021, €]]-Vertailu[[#This Row],[Vaikuttavuusrahoitus 2020, €]]</f>
        <v>2044</v>
      </c>
      <c r="AI108" s="43">
        <f>IFERROR(Vertailu[[#This Row],[Vaikuttavuusrahoituksen muutos, €]]/Vertailu[[#This Row],[Vaikuttavuusrahoitus 2020, €]],0)</f>
        <v>3.0351627464956045E-2</v>
      </c>
    </row>
    <row r="109" spans="1:35" ht="12.75" customHeight="1" x14ac:dyDescent="0.25">
      <c r="A109" s="22" t="s">
        <v>276</v>
      </c>
      <c r="B109" s="236" t="s">
        <v>108</v>
      </c>
      <c r="C109" s="142" t="s">
        <v>274</v>
      </c>
      <c r="D109" s="170" t="s">
        <v>392</v>
      </c>
      <c r="E109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0.57051055300082543</v>
      </c>
      <c r="F109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0.57051055300082543</v>
      </c>
      <c r="G109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0.24860275910859569</v>
      </c>
      <c r="H109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0.18088668789057893</v>
      </c>
      <c r="I109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0.13609637228314272</v>
      </c>
      <c r="J109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9.770860354517942E-3</v>
      </c>
      <c r="K109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3.5019455252918288E-2</v>
      </c>
      <c r="L109" s="18">
        <f>IFERROR(VLOOKUP(Vertailu[[#This Row],[Y-tunnus]],'Suoritepäätös 2020'!$Q:$AC,COLUMN('Suoritepäätös 2020'!L:L),FALSE)-VLOOKUP(Vertailu[[#This Row],[Y-tunnus]],'Suoritepäätös 2020'!$B:$N,COLUMN('Suoritepäätös 2020'!F:F),FALSE),0)</f>
        <v>456759</v>
      </c>
      <c r="M109" s="18">
        <f>IFERROR(VLOOKUP(Vertailu[[#This Row],[Y-tunnus]],'1.2 Ohjaus-laskentataulu'!A:AY,COLUMN('1.2 Ohjaus-laskentataulu'!Z:Z),FALSE),0)</f>
        <v>508860</v>
      </c>
      <c r="N109" s="18">
        <f>IFERROR(Vertailu[[#This Row],[Rahoitus pl. hark. kor. 2021 ilman alv, €]]-Vertailu[[#This Row],[Rahoitus pl. hark. kor. 2020 ilman alv, €]],0)</f>
        <v>52101</v>
      </c>
      <c r="O109" s="43">
        <f>IFERROR(Vertailu[[#This Row],[Muutos, € 1]]/Vertailu[[#This Row],[Rahoitus pl. hark. kor. 2020 ilman alv, €]],0)</f>
        <v>0.1140667178971843</v>
      </c>
      <c r="P109" s="135">
        <f>IFERROR(VLOOKUP(Vertailu[[#This Row],[Y-tunnus]],'Suoritepäätös 2020'!$Q:$AC,COLUMN('Suoritepäätös 2020'!L:L),FALSE),0)</f>
        <v>459759</v>
      </c>
      <c r="Q109" s="138">
        <f>IFERROR(VLOOKUP(Vertailu[[#This Row],[Y-tunnus]],'1.2 Ohjaus-laskentataulu'!A:AY,COLUMN('1.2 Ohjaus-laskentataulu'!AV:AV),FALSE),0)</f>
        <v>508860</v>
      </c>
      <c r="R109" s="18">
        <f>IFERROR(Vertailu[[#This Row],[Rahoitus ml. hark. kor. 
2021 ilman alv, €]]-Vertailu[[#This Row],[Rahoitus ml. hark. kor. 
2020 ilman alv, €]],0)</f>
        <v>49101</v>
      </c>
      <c r="S109" s="16">
        <f>IFERROR(Vertailu[[#This Row],[Muutos, € 2]]/Vertailu[[#This Row],[Rahoitus ml. hark. kor. 
2020 ilman alv, €]],0)</f>
        <v>0.10679725682368371</v>
      </c>
      <c r="T109" s="138">
        <f>IFERROR(VLOOKUP(Vertailu[[#This Row],[Y-tunnus]],'Suoritepäätös 2020'!$Q:$AC,COLUMN('Suoritepäätös 2020'!L:L),FALSE)+VLOOKUP(Vertailu[[#This Row],[Y-tunnus]],'Suoritepäätös 2020'!$Q:$AC,COLUMN('Suoritepäätös 2020'!M:M),FALSE),0)</f>
        <v>485736</v>
      </c>
      <c r="U109" s="135">
        <f>IFERROR(VLOOKUP(Vertailu[[#This Row],[Y-tunnus]],'1.2 Ohjaus-laskentataulu'!A:AY,COLUMN('1.2 Ohjaus-laskentataulu'!AX:AX),FALSE),0)</f>
        <v>533461</v>
      </c>
      <c r="V109" s="141">
        <f>IFERROR(Vertailu[[#This Row],[Rahoitus ml. hark. kor. + alv 2021, €]]-Vertailu[[#This Row],[Rahoitus ml. hark. kor. + alv 2020, €]],0)</f>
        <v>47725</v>
      </c>
      <c r="W109" s="43">
        <f>IFERROR(Vertailu[[#This Row],[Muutos, € 3]]/Vertailu[[#This Row],[Rahoitus ml. hark. kor. + alv 2020, €]],0)</f>
        <v>9.8252960455885496E-2</v>
      </c>
      <c r="X109" s="18">
        <f>IFERROR(VLOOKUP(Vertailu[[#This Row],[Y-tunnus]],'Suoritepäätös 2020'!$B:$N,COLUMN('Suoritepäätös 2020'!G:G),FALSE),0)</f>
        <v>303994</v>
      </c>
      <c r="Y109" s="18">
        <f>IFERROR(VLOOKUP(Vertailu[[#This Row],[Y-tunnus]],'1.2 Ohjaus-laskentataulu'!A:AY,COLUMN('1.2 Ohjaus-laskentataulu'!AS:AS),FALSE),0)</f>
        <v>290310</v>
      </c>
      <c r="Z109" s="18">
        <f>Vertailu[[#This Row],[Perusrahoitus 2021, €]]-Vertailu[[#This Row],[Perusrahoitus 2020, €]]</f>
        <v>-13684</v>
      </c>
      <c r="AA109" s="43">
        <f>IFERROR(Vertailu[[#This Row],[Perusrahoituksen muutos, €]]/Vertailu[[#This Row],[Perusrahoitus 2020, €]],0)</f>
        <v>-4.5014046329861772E-2</v>
      </c>
      <c r="AB109" s="18">
        <f>IFERROR(VLOOKUP(Vertailu[[#This Row],[Y-tunnus]],'Suoritepäätös 2020'!$B:$N,COLUMN('Suoritepäätös 2020'!M:M),FALSE),0)</f>
        <v>83090</v>
      </c>
      <c r="AC109" s="18">
        <f>IFERROR(VLOOKUP(Vertailu[[#This Row],[Y-tunnus]],'1.2 Ohjaus-laskentataulu'!A:AY,COLUMN('1.2 Ohjaus-laskentataulu'!O:O),FALSE),0)</f>
        <v>126504</v>
      </c>
      <c r="AD109" s="18">
        <f>Vertailu[[#This Row],[Suoritusrahoitus 2021, €]]-Vertailu[[#This Row],[Suoritusrahoitus 2020, €]]</f>
        <v>43414</v>
      </c>
      <c r="AE109" s="43">
        <f>IFERROR(Vertailu[[#This Row],[Suoritusrahoituksen muutos, €]]/Vertailu[[#This Row],[Suoritusrahoitus 2020, €]],0)</f>
        <v>0.52249368155012632</v>
      </c>
      <c r="AF109" s="18">
        <f>IFERROR(VLOOKUP(Vertailu[[#This Row],[Y-tunnus]],'Suoritepäätös 2020'!$Q:$AC,COLUMN('Suoritepäätös 2020'!K:K),FALSE),0)</f>
        <v>72675</v>
      </c>
      <c r="AG109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92046</v>
      </c>
      <c r="AH109" s="18">
        <f>Vertailu[[#This Row],[Vaikuttavuusrahoitus 2021, €]]-Vertailu[[#This Row],[Vaikuttavuusrahoitus 2020, €]]</f>
        <v>19371</v>
      </c>
      <c r="AI109" s="43">
        <f>IFERROR(Vertailu[[#This Row],[Vaikuttavuusrahoituksen muutos, €]]/Vertailu[[#This Row],[Vaikuttavuusrahoitus 2020, €]],0)</f>
        <v>0.26654282765737874</v>
      </c>
    </row>
    <row r="110" spans="1:35" ht="12.75" customHeight="1" x14ac:dyDescent="0.25">
      <c r="A110" s="22" t="s">
        <v>275</v>
      </c>
      <c r="B110" s="236" t="s">
        <v>109</v>
      </c>
      <c r="C110" s="142" t="s">
        <v>274</v>
      </c>
      <c r="D110" s="170" t="s">
        <v>391</v>
      </c>
      <c r="E110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0.69807497613256198</v>
      </c>
      <c r="F110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0.7009606535574574</v>
      </c>
      <c r="G110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0.18439397946113323</v>
      </c>
      <c r="H110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0.11464536698140942</v>
      </c>
      <c r="I110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8.7308536745696913E-2</v>
      </c>
      <c r="J110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6.2958555785396558E-3</v>
      </c>
      <c r="K110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2.1040974657172865E-2</v>
      </c>
      <c r="L110" s="18">
        <f>IFERROR(VLOOKUP(Vertailu[[#This Row],[Y-tunnus]],'Suoritepäätös 2020'!$Q:$AC,COLUMN('Suoritepäätös 2020'!L:L),FALSE)-VLOOKUP(Vertailu[[#This Row],[Y-tunnus]],'Suoritepäätös 2020'!$B:$N,COLUMN('Suoritepäätös 2020'!F:F),FALSE),0)</f>
        <v>33878248</v>
      </c>
      <c r="M110" s="18">
        <f>IFERROR(VLOOKUP(Vertailu[[#This Row],[Y-tunnus]],'1.2 Ohjaus-laskentataulu'!A:AY,COLUMN('1.2 Ohjaus-laskentataulu'!Z:Z),FALSE),0)</f>
        <v>34553908</v>
      </c>
      <c r="N110" s="18">
        <f>IFERROR(Vertailu[[#This Row],[Rahoitus pl. hark. kor. 2021 ilman alv, €]]-Vertailu[[#This Row],[Rahoitus pl. hark. kor. 2020 ilman alv, €]],0)</f>
        <v>675660</v>
      </c>
      <c r="O110" s="43">
        <f>IFERROR(Vertailu[[#This Row],[Muutos, € 1]]/Vertailu[[#This Row],[Rahoitus pl. hark. kor. 2020 ilman alv, €]],0)</f>
        <v>1.9943770409851184E-2</v>
      </c>
      <c r="P110" s="135">
        <f>IFERROR(VLOOKUP(Vertailu[[#This Row],[Y-tunnus]],'Suoritepäätös 2020'!$Q:$AC,COLUMN('Suoritepäätös 2020'!L:L),FALSE),0)</f>
        <v>34098248</v>
      </c>
      <c r="Q110" s="138">
        <f>IFERROR(VLOOKUP(Vertailu[[#This Row],[Y-tunnus]],'1.2 Ohjaus-laskentataulu'!A:AY,COLUMN('1.2 Ohjaus-laskentataulu'!AV:AV),FALSE),0)</f>
        <v>34653908</v>
      </c>
      <c r="R110" s="18">
        <f>IFERROR(Vertailu[[#This Row],[Rahoitus ml. hark. kor. 
2021 ilman alv, €]]-Vertailu[[#This Row],[Rahoitus ml. hark. kor. 
2020 ilman alv, €]],0)</f>
        <v>555660</v>
      </c>
      <c r="S110" s="16">
        <f>IFERROR(Vertailu[[#This Row],[Muutos, € 2]]/Vertailu[[#This Row],[Rahoitus ml. hark. kor. 
2020 ilman alv, €]],0)</f>
        <v>1.6295851915910754E-2</v>
      </c>
      <c r="T110" s="138">
        <f>IFERROR(VLOOKUP(Vertailu[[#This Row],[Y-tunnus]],'Suoritepäätös 2020'!$Q:$AC,COLUMN('Suoritepäätös 2020'!L:L),FALSE)+VLOOKUP(Vertailu[[#This Row],[Y-tunnus]],'Suoritepäätös 2020'!$Q:$AC,COLUMN('Suoritepäätös 2020'!M:M),FALSE),0)</f>
        <v>34098248</v>
      </c>
      <c r="U110" s="135">
        <f>IFERROR(VLOOKUP(Vertailu[[#This Row],[Y-tunnus]],'1.2 Ohjaus-laskentataulu'!A:AY,COLUMN('1.2 Ohjaus-laskentataulu'!AX:AX),FALSE),0)</f>
        <v>34653908</v>
      </c>
      <c r="V110" s="141">
        <f>IFERROR(Vertailu[[#This Row],[Rahoitus ml. hark. kor. + alv 2021, €]]-Vertailu[[#This Row],[Rahoitus ml. hark. kor. + alv 2020, €]],0)</f>
        <v>555660</v>
      </c>
      <c r="W110" s="43">
        <f>IFERROR(Vertailu[[#This Row],[Muutos, € 3]]/Vertailu[[#This Row],[Rahoitus ml. hark. kor. + alv 2020, €]],0)</f>
        <v>1.6295851915910754E-2</v>
      </c>
      <c r="X110" s="18">
        <f>IFERROR(VLOOKUP(Vertailu[[#This Row],[Y-tunnus]],'Suoritepäätös 2020'!$B:$N,COLUMN('Suoritepäätös 2020'!G:G),FALSE),0)</f>
        <v>23569469</v>
      </c>
      <c r="Y110" s="18">
        <f>IFERROR(VLOOKUP(Vertailu[[#This Row],[Y-tunnus]],'1.2 Ohjaus-laskentataulu'!A:AY,COLUMN('1.2 Ohjaus-laskentataulu'!AS:AS),FALSE),0)</f>
        <v>24291026</v>
      </c>
      <c r="Z110" s="18">
        <f>Vertailu[[#This Row],[Perusrahoitus 2021, €]]-Vertailu[[#This Row],[Perusrahoitus 2020, €]]</f>
        <v>721557</v>
      </c>
      <c r="AA110" s="43">
        <f>IFERROR(Vertailu[[#This Row],[Perusrahoituksen muutos, €]]/Vertailu[[#This Row],[Perusrahoitus 2020, €]],0)</f>
        <v>3.0614054139276536E-2</v>
      </c>
      <c r="AB110" s="18">
        <f>IFERROR(VLOOKUP(Vertailu[[#This Row],[Y-tunnus]],'Suoritepäätös 2020'!$B:$N,COLUMN('Suoritepäätös 2020'!M:M),FALSE),0)</f>
        <v>6698261</v>
      </c>
      <c r="AC110" s="18">
        <f>IFERROR(VLOOKUP(Vertailu[[#This Row],[Y-tunnus]],'1.2 Ohjaus-laskentataulu'!A:AY,COLUMN('1.2 Ohjaus-laskentataulu'!O:O),FALSE),0)</f>
        <v>6389972</v>
      </c>
      <c r="AD110" s="18">
        <f>Vertailu[[#This Row],[Suoritusrahoitus 2021, €]]-Vertailu[[#This Row],[Suoritusrahoitus 2020, €]]</f>
        <v>-308289</v>
      </c>
      <c r="AE110" s="43">
        <f>IFERROR(Vertailu[[#This Row],[Suoritusrahoituksen muutos, €]]/Vertailu[[#This Row],[Suoritusrahoitus 2020, €]],0)</f>
        <v>-4.6025229533456523E-2</v>
      </c>
      <c r="AF110" s="18">
        <f>IFERROR(VLOOKUP(Vertailu[[#This Row],[Y-tunnus]],'Suoritepäätös 2020'!$Q:$AC,COLUMN('Suoritepäätös 2020'!K:K),FALSE),0)</f>
        <v>3830518</v>
      </c>
      <c r="AG110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3972910</v>
      </c>
      <c r="AH110" s="18">
        <f>Vertailu[[#This Row],[Vaikuttavuusrahoitus 2021, €]]-Vertailu[[#This Row],[Vaikuttavuusrahoitus 2020, €]]</f>
        <v>142392</v>
      </c>
      <c r="AI110" s="43">
        <f>IFERROR(Vertailu[[#This Row],[Vaikuttavuusrahoituksen muutos, €]]/Vertailu[[#This Row],[Vaikuttavuusrahoitus 2020, €]],0)</f>
        <v>3.7173040304209509E-2</v>
      </c>
    </row>
    <row r="111" spans="1:35" ht="12.75" customHeight="1" x14ac:dyDescent="0.25">
      <c r="A111" s="22" t="s">
        <v>273</v>
      </c>
      <c r="B111" s="236" t="s">
        <v>110</v>
      </c>
      <c r="C111" s="142" t="s">
        <v>232</v>
      </c>
      <c r="D111" s="170" t="s">
        <v>391</v>
      </c>
      <c r="E111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0.66135632251269916</v>
      </c>
      <c r="F111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0.66135632251269916</v>
      </c>
      <c r="G111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0.2248373133073816</v>
      </c>
      <c r="H111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0.11380636417991925</v>
      </c>
      <c r="I111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8.5057908766886528E-2</v>
      </c>
      <c r="J111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6.5340832182444733E-3</v>
      </c>
      <c r="K111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2.2214372194788248E-2</v>
      </c>
      <c r="L111" s="18">
        <f>IFERROR(VLOOKUP(Vertailu[[#This Row],[Y-tunnus]],'Suoritepäätös 2020'!$Q:$AC,COLUMN('Suoritepäätös 2020'!L:L),FALSE)-VLOOKUP(Vertailu[[#This Row],[Y-tunnus]],'Suoritepäätös 2020'!$B:$N,COLUMN('Suoritepäätös 2020'!F:F),FALSE),0)</f>
        <v>19562779</v>
      </c>
      <c r="M111" s="18">
        <f>IFERROR(VLOOKUP(Vertailu[[#This Row],[Y-tunnus]],'1.2 Ohjaus-laskentataulu'!A:AY,COLUMN('1.2 Ohjaus-laskentataulu'!Z:Z),FALSE),0)</f>
        <v>19725338</v>
      </c>
      <c r="N111" s="18">
        <f>IFERROR(Vertailu[[#This Row],[Rahoitus pl. hark. kor. 2021 ilman alv, €]]-Vertailu[[#This Row],[Rahoitus pl. hark. kor. 2020 ilman alv, €]],0)</f>
        <v>162559</v>
      </c>
      <c r="O111" s="43">
        <f>IFERROR(Vertailu[[#This Row],[Muutos, € 1]]/Vertailu[[#This Row],[Rahoitus pl. hark. kor. 2020 ilman alv, €]],0)</f>
        <v>8.3096067281647461E-3</v>
      </c>
      <c r="P111" s="135">
        <f>IFERROR(VLOOKUP(Vertailu[[#This Row],[Y-tunnus]],'Suoritepäätös 2020'!$Q:$AC,COLUMN('Suoritepäätös 2020'!L:L),FALSE),0)</f>
        <v>19642779</v>
      </c>
      <c r="Q111" s="138">
        <f>IFERROR(VLOOKUP(Vertailu[[#This Row],[Y-tunnus]],'1.2 Ohjaus-laskentataulu'!A:AY,COLUMN('1.2 Ohjaus-laskentataulu'!AV:AV),FALSE),0)</f>
        <v>19725338</v>
      </c>
      <c r="R111" s="18">
        <f>IFERROR(Vertailu[[#This Row],[Rahoitus ml. hark. kor. 
2021 ilman alv, €]]-Vertailu[[#This Row],[Rahoitus ml. hark. kor. 
2020 ilman alv, €]],0)</f>
        <v>82559</v>
      </c>
      <c r="S111" s="16">
        <f>IFERROR(Vertailu[[#This Row],[Muutos, € 2]]/Vertailu[[#This Row],[Rahoitus ml. hark. kor. 
2020 ilman alv, €]],0)</f>
        <v>4.2030203567428011E-3</v>
      </c>
      <c r="T111" s="138">
        <f>IFERROR(VLOOKUP(Vertailu[[#This Row],[Y-tunnus]],'Suoritepäätös 2020'!$Q:$AC,COLUMN('Suoritepäätös 2020'!L:L),FALSE)+VLOOKUP(Vertailu[[#This Row],[Y-tunnus]],'Suoritepäätös 2020'!$Q:$AC,COLUMN('Suoritepäätös 2020'!M:M),FALSE),0)</f>
        <v>19642779</v>
      </c>
      <c r="U111" s="135">
        <f>IFERROR(VLOOKUP(Vertailu[[#This Row],[Y-tunnus]],'1.2 Ohjaus-laskentataulu'!A:AY,COLUMN('1.2 Ohjaus-laskentataulu'!AX:AX),FALSE),0)</f>
        <v>19725338</v>
      </c>
      <c r="V111" s="141">
        <f>IFERROR(Vertailu[[#This Row],[Rahoitus ml. hark. kor. + alv 2021, €]]-Vertailu[[#This Row],[Rahoitus ml. hark. kor. + alv 2020, €]],0)</f>
        <v>82559</v>
      </c>
      <c r="W111" s="43">
        <f>IFERROR(Vertailu[[#This Row],[Muutos, € 3]]/Vertailu[[#This Row],[Rahoitus ml. hark. kor. + alv 2020, €]],0)</f>
        <v>4.2030203567428011E-3</v>
      </c>
      <c r="X111" s="18">
        <f>IFERROR(VLOOKUP(Vertailu[[#This Row],[Y-tunnus]],'Suoritepäätös 2020'!$B:$N,COLUMN('Suoritepäätös 2020'!G:G),FALSE),0)</f>
        <v>13257049</v>
      </c>
      <c r="Y111" s="18">
        <f>IFERROR(VLOOKUP(Vertailu[[#This Row],[Y-tunnus]],'1.2 Ohjaus-laskentataulu'!A:AY,COLUMN('1.2 Ohjaus-laskentataulu'!AS:AS),FALSE),0)</f>
        <v>13045477</v>
      </c>
      <c r="Z111" s="18">
        <f>Vertailu[[#This Row],[Perusrahoitus 2021, €]]-Vertailu[[#This Row],[Perusrahoitus 2020, €]]</f>
        <v>-211572</v>
      </c>
      <c r="AA111" s="43">
        <f>IFERROR(Vertailu[[#This Row],[Perusrahoituksen muutos, €]]/Vertailu[[#This Row],[Perusrahoitus 2020, €]],0)</f>
        <v>-1.5959207814650152E-2</v>
      </c>
      <c r="AB111" s="18">
        <f>IFERROR(VLOOKUP(Vertailu[[#This Row],[Y-tunnus]],'Suoritepäätös 2020'!$B:$N,COLUMN('Suoritepäätös 2020'!M:M),FALSE),0)</f>
        <v>4507138</v>
      </c>
      <c r="AC111" s="18">
        <f>IFERROR(VLOOKUP(Vertailu[[#This Row],[Y-tunnus]],'1.2 Ohjaus-laskentataulu'!A:AY,COLUMN('1.2 Ohjaus-laskentataulu'!O:O),FALSE),0)</f>
        <v>4434992</v>
      </c>
      <c r="AD111" s="18">
        <f>Vertailu[[#This Row],[Suoritusrahoitus 2021, €]]-Vertailu[[#This Row],[Suoritusrahoitus 2020, €]]</f>
        <v>-72146</v>
      </c>
      <c r="AE111" s="43">
        <f>IFERROR(Vertailu[[#This Row],[Suoritusrahoituksen muutos, €]]/Vertailu[[#This Row],[Suoritusrahoitus 2020, €]],0)</f>
        <v>-1.6007053700152957E-2</v>
      </c>
      <c r="AF111" s="18">
        <f>IFERROR(VLOOKUP(Vertailu[[#This Row],[Y-tunnus]],'Suoritepäätös 2020'!$Q:$AC,COLUMN('Suoritepäätös 2020'!K:K),FALSE),0)</f>
        <v>1878592</v>
      </c>
      <c r="AG111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2244869</v>
      </c>
      <c r="AH111" s="18">
        <f>Vertailu[[#This Row],[Vaikuttavuusrahoitus 2021, €]]-Vertailu[[#This Row],[Vaikuttavuusrahoitus 2020, €]]</f>
        <v>366277</v>
      </c>
      <c r="AI111" s="43">
        <f>IFERROR(Vertailu[[#This Row],[Vaikuttavuusrahoituksen muutos, €]]/Vertailu[[#This Row],[Vaikuttavuusrahoitus 2020, €]],0)</f>
        <v>0.1949742147310326</v>
      </c>
    </row>
    <row r="112" spans="1:35" ht="12.75" customHeight="1" x14ac:dyDescent="0.25">
      <c r="A112" s="22" t="s">
        <v>272</v>
      </c>
      <c r="B112" s="236" t="s">
        <v>202</v>
      </c>
      <c r="C112" s="142" t="s">
        <v>216</v>
      </c>
      <c r="D112" s="170" t="s">
        <v>392</v>
      </c>
      <c r="E112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</v>
      </c>
      <c r="F112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</v>
      </c>
      <c r="G112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</v>
      </c>
      <c r="H112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</v>
      </c>
      <c r="I112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</v>
      </c>
      <c r="J112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0</v>
      </c>
      <c r="K112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0</v>
      </c>
      <c r="L112" s="18">
        <f>IFERROR(VLOOKUP(Vertailu[[#This Row],[Y-tunnus]],'Suoritepäätös 2020'!$Q:$AC,COLUMN('Suoritepäätös 2020'!L:L),FALSE)-VLOOKUP(Vertailu[[#This Row],[Y-tunnus]],'Suoritepäätös 2020'!$B:$N,COLUMN('Suoritepäätös 2020'!F:F),FALSE),0)</f>
        <v>0</v>
      </c>
      <c r="M112" s="18">
        <f>IFERROR(VLOOKUP(Vertailu[[#This Row],[Y-tunnus]],'1.2 Ohjaus-laskentataulu'!A:AY,COLUMN('1.2 Ohjaus-laskentataulu'!Z:Z),FALSE),0)</f>
        <v>0</v>
      </c>
      <c r="N112" s="18">
        <f>IFERROR(Vertailu[[#This Row],[Rahoitus pl. hark. kor. 2021 ilman alv, €]]-Vertailu[[#This Row],[Rahoitus pl. hark. kor. 2020 ilman alv, €]],0)</f>
        <v>0</v>
      </c>
      <c r="O112" s="43">
        <f>IFERROR(Vertailu[[#This Row],[Muutos, € 1]]/Vertailu[[#This Row],[Rahoitus pl. hark. kor. 2020 ilman alv, €]],0)</f>
        <v>0</v>
      </c>
      <c r="P112" s="135">
        <f>IFERROR(VLOOKUP(Vertailu[[#This Row],[Y-tunnus]],'Suoritepäätös 2020'!$Q:$AC,COLUMN('Suoritepäätös 2020'!L:L),FALSE),0)</f>
        <v>0</v>
      </c>
      <c r="Q112" s="138">
        <f>IFERROR(VLOOKUP(Vertailu[[#This Row],[Y-tunnus]],'1.2 Ohjaus-laskentataulu'!A:AY,COLUMN('1.2 Ohjaus-laskentataulu'!AV:AV),FALSE),0)</f>
        <v>0</v>
      </c>
      <c r="R112" s="18">
        <f>IFERROR(Vertailu[[#This Row],[Rahoitus ml. hark. kor. 
2021 ilman alv, €]]-Vertailu[[#This Row],[Rahoitus ml. hark. kor. 
2020 ilman alv, €]],0)</f>
        <v>0</v>
      </c>
      <c r="S112" s="16">
        <f>IFERROR(Vertailu[[#This Row],[Muutos, € 2]]/Vertailu[[#This Row],[Rahoitus ml. hark. kor. 
2020 ilman alv, €]],0)</f>
        <v>0</v>
      </c>
      <c r="T112" s="138">
        <f>IFERROR(VLOOKUP(Vertailu[[#This Row],[Y-tunnus]],'Suoritepäätös 2020'!$Q:$AC,COLUMN('Suoritepäätös 2020'!L:L),FALSE)+VLOOKUP(Vertailu[[#This Row],[Y-tunnus]],'Suoritepäätös 2020'!$Q:$AC,COLUMN('Suoritepäätös 2020'!M:M),FALSE),0)</f>
        <v>0</v>
      </c>
      <c r="U112" s="135">
        <f>IFERROR(VLOOKUP(Vertailu[[#This Row],[Y-tunnus]],'1.2 Ohjaus-laskentataulu'!A:AY,COLUMN('1.2 Ohjaus-laskentataulu'!AX:AX),FALSE),0)</f>
        <v>0</v>
      </c>
      <c r="V112" s="141">
        <f>IFERROR(Vertailu[[#This Row],[Rahoitus ml. hark. kor. + alv 2021, €]]-Vertailu[[#This Row],[Rahoitus ml. hark. kor. + alv 2020, €]],0)</f>
        <v>0</v>
      </c>
      <c r="W112" s="43">
        <f>IFERROR(Vertailu[[#This Row],[Muutos, € 3]]/Vertailu[[#This Row],[Rahoitus ml. hark. kor. + alv 2020, €]],0)</f>
        <v>0</v>
      </c>
      <c r="X112" s="18">
        <f>IFERROR(VLOOKUP(Vertailu[[#This Row],[Y-tunnus]],'Suoritepäätös 2020'!$B:$N,COLUMN('Suoritepäätös 2020'!G:G),FALSE),0)</f>
        <v>0</v>
      </c>
      <c r="Y112" s="18">
        <f>IFERROR(VLOOKUP(Vertailu[[#This Row],[Y-tunnus]],'1.2 Ohjaus-laskentataulu'!A:AY,COLUMN('1.2 Ohjaus-laskentataulu'!AS:AS),FALSE),0)</f>
        <v>0</v>
      </c>
      <c r="Z112" s="18">
        <f>Vertailu[[#This Row],[Perusrahoitus 2021, €]]-Vertailu[[#This Row],[Perusrahoitus 2020, €]]</f>
        <v>0</v>
      </c>
      <c r="AA112" s="43">
        <f>IFERROR(Vertailu[[#This Row],[Perusrahoituksen muutos, €]]/Vertailu[[#This Row],[Perusrahoitus 2020, €]],0)</f>
        <v>0</v>
      </c>
      <c r="AB112" s="18">
        <f>IFERROR(VLOOKUP(Vertailu[[#This Row],[Y-tunnus]],'Suoritepäätös 2020'!$B:$N,COLUMN('Suoritepäätös 2020'!M:M),FALSE),0)</f>
        <v>0</v>
      </c>
      <c r="AC112" s="18">
        <f>IFERROR(VLOOKUP(Vertailu[[#This Row],[Y-tunnus]],'1.2 Ohjaus-laskentataulu'!A:AY,COLUMN('1.2 Ohjaus-laskentataulu'!O:O),FALSE),0)</f>
        <v>0</v>
      </c>
      <c r="AD112" s="18">
        <f>Vertailu[[#This Row],[Suoritusrahoitus 2021, €]]-Vertailu[[#This Row],[Suoritusrahoitus 2020, €]]</f>
        <v>0</v>
      </c>
      <c r="AE112" s="43">
        <f>IFERROR(Vertailu[[#This Row],[Suoritusrahoituksen muutos, €]]/Vertailu[[#This Row],[Suoritusrahoitus 2020, €]],0)</f>
        <v>0</v>
      </c>
      <c r="AF112" s="18">
        <f>IFERROR(VLOOKUP(Vertailu[[#This Row],[Y-tunnus]],'Suoritepäätös 2020'!$Q:$AC,COLUMN('Suoritepäätös 2020'!K:K),FALSE),0)</f>
        <v>0</v>
      </c>
      <c r="AG112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0</v>
      </c>
      <c r="AH112" s="18">
        <f>Vertailu[[#This Row],[Vaikuttavuusrahoitus 2021, €]]-Vertailu[[#This Row],[Vaikuttavuusrahoitus 2020, €]]</f>
        <v>0</v>
      </c>
      <c r="AI112" s="43">
        <f>IFERROR(Vertailu[[#This Row],[Vaikuttavuusrahoituksen muutos, €]]/Vertailu[[#This Row],[Vaikuttavuusrahoitus 2020, €]],0)</f>
        <v>0</v>
      </c>
    </row>
    <row r="113" spans="1:35" ht="12.75" customHeight="1" x14ac:dyDescent="0.25">
      <c r="A113" s="22" t="s">
        <v>271</v>
      </c>
      <c r="B113" s="236" t="s">
        <v>111</v>
      </c>
      <c r="C113" s="142" t="s">
        <v>227</v>
      </c>
      <c r="D113" s="170" t="s">
        <v>391</v>
      </c>
      <c r="E113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0.68566392110534269</v>
      </c>
      <c r="F113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0.69056016029250245</v>
      </c>
      <c r="G113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0.21050504822421182</v>
      </c>
      <c r="H113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9.8934791483285711E-2</v>
      </c>
      <c r="I113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6.8522032183498602E-2</v>
      </c>
      <c r="J113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7.042836851031577E-3</v>
      </c>
      <c r="K113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2.3369922448755527E-2</v>
      </c>
      <c r="L113" s="18">
        <f>IFERROR(VLOOKUP(Vertailu[[#This Row],[Y-tunnus]],'Suoritepäätös 2020'!$Q:$AC,COLUMN('Suoritepäätös 2020'!L:L),FALSE)-VLOOKUP(Vertailu[[#This Row],[Y-tunnus]],'Suoritepäätös 2020'!$B:$N,COLUMN('Suoritepäätös 2020'!F:F),FALSE),0)</f>
        <v>33220949</v>
      </c>
      <c r="M113" s="18">
        <f>IFERROR(VLOOKUP(Vertailu[[#This Row],[Y-tunnus]],'1.2 Ohjaus-laskentataulu'!A:AY,COLUMN('1.2 Ohjaus-laskentataulu'!Z:Z),FALSE),0)</f>
        <v>34550526</v>
      </c>
      <c r="N113" s="18">
        <f>IFERROR(Vertailu[[#This Row],[Rahoitus pl. hark. kor. 2021 ilman alv, €]]-Vertailu[[#This Row],[Rahoitus pl. hark. kor. 2020 ilman alv, €]],0)</f>
        <v>1329577</v>
      </c>
      <c r="O113" s="43">
        <f>IFERROR(Vertailu[[#This Row],[Muutos, € 1]]/Vertailu[[#This Row],[Rahoitus pl. hark. kor. 2020 ilman alv, €]],0)</f>
        <v>4.0022246203743304E-2</v>
      </c>
      <c r="P113" s="135">
        <f>IFERROR(VLOOKUP(Vertailu[[#This Row],[Y-tunnus]],'Suoritepäätös 2020'!$Q:$AC,COLUMN('Suoritepäätös 2020'!L:L),FALSE),0)</f>
        <v>33220949</v>
      </c>
      <c r="Q113" s="138">
        <f>IFERROR(VLOOKUP(Vertailu[[#This Row],[Y-tunnus]],'1.2 Ohjaus-laskentataulu'!A:AY,COLUMN('1.2 Ohjaus-laskentataulu'!AV:AV),FALSE),0)</f>
        <v>34720526</v>
      </c>
      <c r="R113" s="18">
        <f>IFERROR(Vertailu[[#This Row],[Rahoitus ml. hark. kor. 
2021 ilman alv, €]]-Vertailu[[#This Row],[Rahoitus ml. hark. kor. 
2020 ilman alv, €]],0)</f>
        <v>1499577</v>
      </c>
      <c r="S113" s="16">
        <f>IFERROR(Vertailu[[#This Row],[Muutos, € 2]]/Vertailu[[#This Row],[Rahoitus ml. hark. kor. 
2020 ilman alv, €]],0)</f>
        <v>4.5139499175655698E-2</v>
      </c>
      <c r="T113" s="138">
        <f>IFERROR(VLOOKUP(Vertailu[[#This Row],[Y-tunnus]],'Suoritepäätös 2020'!$Q:$AC,COLUMN('Suoritepäätös 2020'!L:L),FALSE)+VLOOKUP(Vertailu[[#This Row],[Y-tunnus]],'Suoritepäätös 2020'!$Q:$AC,COLUMN('Suoritepäätös 2020'!M:M),FALSE),0)</f>
        <v>33220949</v>
      </c>
      <c r="U113" s="135">
        <f>IFERROR(VLOOKUP(Vertailu[[#This Row],[Y-tunnus]],'1.2 Ohjaus-laskentataulu'!A:AY,COLUMN('1.2 Ohjaus-laskentataulu'!AX:AX),FALSE),0)</f>
        <v>34720526</v>
      </c>
      <c r="V113" s="141">
        <f>IFERROR(Vertailu[[#This Row],[Rahoitus ml. hark. kor. + alv 2021, €]]-Vertailu[[#This Row],[Rahoitus ml. hark. kor. + alv 2020, €]],0)</f>
        <v>1499577</v>
      </c>
      <c r="W113" s="43">
        <f>IFERROR(Vertailu[[#This Row],[Muutos, € 3]]/Vertailu[[#This Row],[Rahoitus ml. hark. kor. + alv 2020, €]],0)</f>
        <v>4.5139499175655698E-2</v>
      </c>
      <c r="X113" s="18">
        <f>IFERROR(VLOOKUP(Vertailu[[#This Row],[Y-tunnus]],'Suoritepäätös 2020'!$B:$N,COLUMN('Suoritepäätös 2020'!G:G),FALSE),0)</f>
        <v>23289270</v>
      </c>
      <c r="Y113" s="18">
        <f>IFERROR(VLOOKUP(Vertailu[[#This Row],[Y-tunnus]],'1.2 Ohjaus-laskentataulu'!A:AY,COLUMN('1.2 Ohjaus-laskentataulu'!AS:AS),FALSE),0)</f>
        <v>23976612</v>
      </c>
      <c r="Z113" s="18">
        <f>Vertailu[[#This Row],[Perusrahoitus 2021, €]]-Vertailu[[#This Row],[Perusrahoitus 2020, €]]</f>
        <v>687342</v>
      </c>
      <c r="AA113" s="43">
        <f>IFERROR(Vertailu[[#This Row],[Perusrahoituksen muutos, €]]/Vertailu[[#This Row],[Perusrahoitus 2020, €]],0)</f>
        <v>2.9513247946371869E-2</v>
      </c>
      <c r="AB113" s="18">
        <f>IFERROR(VLOOKUP(Vertailu[[#This Row],[Y-tunnus]],'Suoritepäätös 2020'!$B:$N,COLUMN('Suoritepäätös 2020'!M:M),FALSE),0)</f>
        <v>6663082</v>
      </c>
      <c r="AC113" s="18">
        <f>IFERROR(VLOOKUP(Vertailu[[#This Row],[Y-tunnus]],'1.2 Ohjaus-laskentataulu'!A:AY,COLUMN('1.2 Ohjaus-laskentataulu'!O:O),FALSE),0)</f>
        <v>7308846</v>
      </c>
      <c r="AD113" s="18">
        <f>Vertailu[[#This Row],[Suoritusrahoitus 2021, €]]-Vertailu[[#This Row],[Suoritusrahoitus 2020, €]]</f>
        <v>645764</v>
      </c>
      <c r="AE113" s="43">
        <f>IFERROR(Vertailu[[#This Row],[Suoritusrahoituksen muutos, €]]/Vertailu[[#This Row],[Suoritusrahoitus 2020, €]],0)</f>
        <v>9.6916712116104836E-2</v>
      </c>
      <c r="AF113" s="18">
        <f>IFERROR(VLOOKUP(Vertailu[[#This Row],[Y-tunnus]],'Suoritepäätös 2020'!$Q:$AC,COLUMN('Suoritepäätös 2020'!K:K),FALSE),0)</f>
        <v>3268597</v>
      </c>
      <c r="AG113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3435068</v>
      </c>
      <c r="AH113" s="18">
        <f>Vertailu[[#This Row],[Vaikuttavuusrahoitus 2021, €]]-Vertailu[[#This Row],[Vaikuttavuusrahoitus 2020, €]]</f>
        <v>166471</v>
      </c>
      <c r="AI113" s="43">
        <f>IFERROR(Vertailu[[#This Row],[Vaikuttavuusrahoituksen muutos, €]]/Vertailu[[#This Row],[Vaikuttavuusrahoitus 2020, €]],0)</f>
        <v>5.0930414486704843E-2</v>
      </c>
    </row>
    <row r="114" spans="1:35" ht="12.75" customHeight="1" x14ac:dyDescent="0.25">
      <c r="A114" s="22" t="s">
        <v>270</v>
      </c>
      <c r="B114" s="236" t="s">
        <v>112</v>
      </c>
      <c r="C114" s="142" t="s">
        <v>265</v>
      </c>
      <c r="D114" s="170" t="s">
        <v>391</v>
      </c>
      <c r="E114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0.6778224596747342</v>
      </c>
      <c r="F114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0.68148386817739437</v>
      </c>
      <c r="G114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0.20969760656014561</v>
      </c>
      <c r="H114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0.10881852526246005</v>
      </c>
      <c r="I114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7.0101235656718233E-2</v>
      </c>
      <c r="J114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1.0165854940029561E-2</v>
      </c>
      <c r="K114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2.855143466571226E-2</v>
      </c>
      <c r="L114" s="18">
        <f>IFERROR(VLOOKUP(Vertailu[[#This Row],[Y-tunnus]],'Suoritepäätös 2020'!$Q:$AC,COLUMN('Suoritepäätös 2020'!L:L),FALSE)-VLOOKUP(Vertailu[[#This Row],[Y-tunnus]],'Suoritepäätös 2020'!$B:$N,COLUMN('Suoritepäätös 2020'!F:F),FALSE),0)</f>
        <v>20898915</v>
      </c>
      <c r="M114" s="18">
        <f>IFERROR(VLOOKUP(Vertailu[[#This Row],[Y-tunnus]],'1.2 Ohjaus-laskentataulu'!A:AY,COLUMN('1.2 Ohjaus-laskentataulu'!Z:Z),FALSE),0)</f>
        <v>21769515</v>
      </c>
      <c r="N114" s="18">
        <f>IFERROR(Vertailu[[#This Row],[Rahoitus pl. hark. kor. 2021 ilman alv, €]]-Vertailu[[#This Row],[Rahoitus pl. hark. kor. 2020 ilman alv, €]],0)</f>
        <v>870600</v>
      </c>
      <c r="O114" s="43">
        <f>IFERROR(Vertailu[[#This Row],[Muutos, € 1]]/Vertailu[[#This Row],[Rahoitus pl. hark. kor. 2020 ilman alv, €]],0)</f>
        <v>4.1657665003183179E-2</v>
      </c>
      <c r="P114" s="135">
        <f>IFERROR(VLOOKUP(Vertailu[[#This Row],[Y-tunnus]],'Suoritepäätös 2020'!$Q:$AC,COLUMN('Suoritepäätös 2020'!L:L),FALSE),0)</f>
        <v>20898915</v>
      </c>
      <c r="Q114" s="138">
        <f>IFERROR(VLOOKUP(Vertailu[[#This Row],[Y-tunnus]],'1.2 Ohjaus-laskentataulu'!A:AY,COLUMN('1.2 Ohjaus-laskentataulu'!AV:AV),FALSE),0)</f>
        <v>21849515</v>
      </c>
      <c r="R114" s="18">
        <f>IFERROR(Vertailu[[#This Row],[Rahoitus ml. hark. kor. 
2021 ilman alv, €]]-Vertailu[[#This Row],[Rahoitus ml. hark. kor. 
2020 ilman alv, €]],0)</f>
        <v>950600</v>
      </c>
      <c r="S114" s="16">
        <f>IFERROR(Vertailu[[#This Row],[Muutos, € 2]]/Vertailu[[#This Row],[Rahoitus ml. hark. kor. 
2020 ilman alv, €]],0)</f>
        <v>4.5485614923071363E-2</v>
      </c>
      <c r="T114" s="138">
        <f>IFERROR(VLOOKUP(Vertailu[[#This Row],[Y-tunnus]],'Suoritepäätös 2020'!$Q:$AC,COLUMN('Suoritepäätös 2020'!L:L),FALSE)+VLOOKUP(Vertailu[[#This Row],[Y-tunnus]],'Suoritepäätös 2020'!$Q:$AC,COLUMN('Suoritepäätös 2020'!M:M),FALSE),0)</f>
        <v>20898915</v>
      </c>
      <c r="U114" s="135">
        <f>IFERROR(VLOOKUP(Vertailu[[#This Row],[Y-tunnus]],'1.2 Ohjaus-laskentataulu'!A:AY,COLUMN('1.2 Ohjaus-laskentataulu'!AX:AX),FALSE),0)</f>
        <v>21849515</v>
      </c>
      <c r="V114" s="141">
        <f>IFERROR(Vertailu[[#This Row],[Rahoitus ml. hark. kor. + alv 2021, €]]-Vertailu[[#This Row],[Rahoitus ml. hark. kor. + alv 2020, €]],0)</f>
        <v>950600</v>
      </c>
      <c r="W114" s="43">
        <f>IFERROR(Vertailu[[#This Row],[Muutos, € 3]]/Vertailu[[#This Row],[Rahoitus ml. hark. kor. + alv 2020, €]],0)</f>
        <v>4.5485614923071363E-2</v>
      </c>
      <c r="X114" s="18">
        <f>IFERROR(VLOOKUP(Vertailu[[#This Row],[Y-tunnus]],'Suoritepäätös 2020'!$B:$N,COLUMN('Suoritepäätös 2020'!G:G),FALSE),0)</f>
        <v>13927764</v>
      </c>
      <c r="Y114" s="18">
        <f>IFERROR(VLOOKUP(Vertailu[[#This Row],[Y-tunnus]],'1.2 Ohjaus-laskentataulu'!A:AY,COLUMN('1.2 Ohjaus-laskentataulu'!AS:AS),FALSE),0)</f>
        <v>14890092</v>
      </c>
      <c r="Z114" s="18">
        <f>Vertailu[[#This Row],[Perusrahoitus 2021, €]]-Vertailu[[#This Row],[Perusrahoitus 2020, €]]</f>
        <v>962328</v>
      </c>
      <c r="AA114" s="43">
        <f>IFERROR(Vertailu[[#This Row],[Perusrahoituksen muutos, €]]/Vertailu[[#This Row],[Perusrahoitus 2020, €]],0)</f>
        <v>6.9094220723441319E-2</v>
      </c>
      <c r="AB114" s="18">
        <f>IFERROR(VLOOKUP(Vertailu[[#This Row],[Y-tunnus]],'Suoritepäätös 2020'!$B:$N,COLUMN('Suoritepäätös 2020'!M:M),FALSE),0)</f>
        <v>4271569</v>
      </c>
      <c r="AC114" s="18">
        <f>IFERROR(VLOOKUP(Vertailu[[#This Row],[Y-tunnus]],'1.2 Ohjaus-laskentataulu'!A:AY,COLUMN('1.2 Ohjaus-laskentataulu'!O:O),FALSE),0)</f>
        <v>4581791</v>
      </c>
      <c r="AD114" s="18">
        <f>Vertailu[[#This Row],[Suoritusrahoitus 2021, €]]-Vertailu[[#This Row],[Suoritusrahoitus 2020, €]]</f>
        <v>310222</v>
      </c>
      <c r="AE114" s="43">
        <f>IFERROR(Vertailu[[#This Row],[Suoritusrahoituksen muutos, €]]/Vertailu[[#This Row],[Suoritusrahoitus 2020, €]],0)</f>
        <v>7.2624836447684679E-2</v>
      </c>
      <c r="AF114" s="18">
        <f>IFERROR(VLOOKUP(Vertailu[[#This Row],[Y-tunnus]],'Suoritepäätös 2020'!$Q:$AC,COLUMN('Suoritepäätös 2020'!K:K),FALSE),0)</f>
        <v>2699582</v>
      </c>
      <c r="AG114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2377632</v>
      </c>
      <c r="AH114" s="18">
        <f>Vertailu[[#This Row],[Vaikuttavuusrahoitus 2021, €]]-Vertailu[[#This Row],[Vaikuttavuusrahoitus 2020, €]]</f>
        <v>-321950</v>
      </c>
      <c r="AI114" s="43">
        <f>IFERROR(Vertailu[[#This Row],[Vaikuttavuusrahoituksen muutos, €]]/Vertailu[[#This Row],[Vaikuttavuusrahoitus 2020, €]],0)</f>
        <v>-0.119259203832297</v>
      </c>
    </row>
    <row r="115" spans="1:35" ht="12.75" customHeight="1" x14ac:dyDescent="0.25">
      <c r="A115" s="22" t="s">
        <v>269</v>
      </c>
      <c r="B115" s="236" t="s">
        <v>113</v>
      </c>
      <c r="C115" s="142" t="s">
        <v>220</v>
      </c>
      <c r="D115" s="170" t="s">
        <v>391</v>
      </c>
      <c r="E115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0.67929952611774291</v>
      </c>
      <c r="F115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0.68151476070727279</v>
      </c>
      <c r="G115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0.20322356942783068</v>
      </c>
      <c r="H115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0.11526166986489647</v>
      </c>
      <c r="I115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8.6421149432934441E-2</v>
      </c>
      <c r="J115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6.3192108738820826E-3</v>
      </c>
      <c r="K115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2.2521309558079947E-2</v>
      </c>
      <c r="L115" s="18">
        <f>IFERROR(VLOOKUP(Vertailu[[#This Row],[Y-tunnus]],'Suoritepäätös 2020'!$Q:$AC,COLUMN('Suoritepäätös 2020'!L:L),FALSE)-VLOOKUP(Vertailu[[#This Row],[Y-tunnus]],'Suoritepäätös 2020'!$B:$N,COLUMN('Suoritepäätös 2020'!F:F),FALSE),0)</f>
        <v>55410908</v>
      </c>
      <c r="M115" s="18">
        <f>IFERROR(VLOOKUP(Vertailu[[#This Row],[Y-tunnus]],'1.2 Ohjaus-laskentataulu'!A:AY,COLUMN('1.2 Ohjaus-laskentataulu'!Z:Z),FALSE),0)</f>
        <v>54951174</v>
      </c>
      <c r="N115" s="18">
        <f>IFERROR(Vertailu[[#This Row],[Rahoitus pl. hark. kor. 2021 ilman alv, €]]-Vertailu[[#This Row],[Rahoitus pl. hark. kor. 2020 ilman alv, €]],0)</f>
        <v>-459734</v>
      </c>
      <c r="O115" s="43">
        <f>IFERROR(Vertailu[[#This Row],[Muutos, € 1]]/Vertailu[[#This Row],[Rahoitus pl. hark. kor. 2020 ilman alv, €]],0)</f>
        <v>-8.2968140496813367E-3</v>
      </c>
      <c r="P115" s="135">
        <f>IFERROR(VLOOKUP(Vertailu[[#This Row],[Y-tunnus]],'Suoritepäätös 2020'!$Q:$AC,COLUMN('Suoritepäätös 2020'!L:L),FALSE),0)</f>
        <v>55585908</v>
      </c>
      <c r="Q115" s="138">
        <f>IFERROR(VLOOKUP(Vertailu[[#This Row],[Y-tunnus]],'1.2 Ohjaus-laskentataulu'!A:AY,COLUMN('1.2 Ohjaus-laskentataulu'!AV:AV),FALSE),0)</f>
        <v>55073174</v>
      </c>
      <c r="R115" s="18">
        <f>IFERROR(Vertailu[[#This Row],[Rahoitus ml. hark. kor. 
2021 ilman alv, €]]-Vertailu[[#This Row],[Rahoitus ml. hark. kor. 
2020 ilman alv, €]],0)</f>
        <v>-512734</v>
      </c>
      <c r="S115" s="16">
        <f>IFERROR(Vertailu[[#This Row],[Muutos, € 2]]/Vertailu[[#This Row],[Rahoitus ml. hark. kor. 
2020 ilman alv, €]],0)</f>
        <v>-9.2241724287385925E-3</v>
      </c>
      <c r="T115" s="138">
        <f>IFERROR(VLOOKUP(Vertailu[[#This Row],[Y-tunnus]],'Suoritepäätös 2020'!$Q:$AC,COLUMN('Suoritepäätös 2020'!L:L),FALSE)+VLOOKUP(Vertailu[[#This Row],[Y-tunnus]],'Suoritepäätös 2020'!$Q:$AC,COLUMN('Suoritepäätös 2020'!M:M),FALSE),0)</f>
        <v>55585908</v>
      </c>
      <c r="U115" s="135">
        <f>IFERROR(VLOOKUP(Vertailu[[#This Row],[Y-tunnus]],'1.2 Ohjaus-laskentataulu'!A:AY,COLUMN('1.2 Ohjaus-laskentataulu'!AX:AX),FALSE),0)</f>
        <v>55073174</v>
      </c>
      <c r="V115" s="141">
        <f>IFERROR(Vertailu[[#This Row],[Rahoitus ml. hark. kor. + alv 2021, €]]-Vertailu[[#This Row],[Rahoitus ml. hark. kor. + alv 2020, €]],0)</f>
        <v>-512734</v>
      </c>
      <c r="W115" s="43">
        <f>IFERROR(Vertailu[[#This Row],[Muutos, € 3]]/Vertailu[[#This Row],[Rahoitus ml. hark. kor. + alv 2020, €]],0)</f>
        <v>-9.2241724287385925E-3</v>
      </c>
      <c r="X115" s="18">
        <f>IFERROR(VLOOKUP(Vertailu[[#This Row],[Y-tunnus]],'Suoritepäätös 2020'!$B:$N,COLUMN('Suoritepäätös 2020'!G:G),FALSE),0)</f>
        <v>36494954</v>
      </c>
      <c r="Y115" s="18">
        <f>IFERROR(VLOOKUP(Vertailu[[#This Row],[Y-tunnus]],'1.2 Ohjaus-laskentataulu'!A:AY,COLUMN('1.2 Ohjaus-laskentataulu'!AS:AS),FALSE),0)</f>
        <v>37533181</v>
      </c>
      <c r="Z115" s="18">
        <f>Vertailu[[#This Row],[Perusrahoitus 2021, €]]-Vertailu[[#This Row],[Perusrahoitus 2020, €]]</f>
        <v>1038227</v>
      </c>
      <c r="AA115" s="43">
        <f>IFERROR(Vertailu[[#This Row],[Perusrahoituksen muutos, €]]/Vertailu[[#This Row],[Perusrahoitus 2020, €]],0)</f>
        <v>2.8448508251305099E-2</v>
      </c>
      <c r="AB115" s="18">
        <f>IFERROR(VLOOKUP(Vertailu[[#This Row],[Y-tunnus]],'Suoritepäätös 2020'!$B:$N,COLUMN('Suoritepäätös 2020'!M:M),FALSE),0)</f>
        <v>12306388</v>
      </c>
      <c r="AC115" s="18">
        <f>IFERROR(VLOOKUP(Vertailu[[#This Row],[Y-tunnus]],'1.2 Ohjaus-laskentataulu'!A:AY,COLUMN('1.2 Ohjaus-laskentataulu'!O:O),FALSE),0)</f>
        <v>11192167</v>
      </c>
      <c r="AD115" s="18">
        <f>Vertailu[[#This Row],[Suoritusrahoitus 2021, €]]-Vertailu[[#This Row],[Suoritusrahoitus 2020, €]]</f>
        <v>-1114221</v>
      </c>
      <c r="AE115" s="43">
        <f>IFERROR(Vertailu[[#This Row],[Suoritusrahoituksen muutos, €]]/Vertailu[[#This Row],[Suoritusrahoitus 2020, €]],0)</f>
        <v>-9.0540051231929305E-2</v>
      </c>
      <c r="AF115" s="18">
        <f>IFERROR(VLOOKUP(Vertailu[[#This Row],[Y-tunnus]],'Suoritepäätös 2020'!$Q:$AC,COLUMN('Suoritepäätös 2020'!K:K),FALSE),0)</f>
        <v>6784566</v>
      </c>
      <c r="AG115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6347826</v>
      </c>
      <c r="AH115" s="18">
        <f>Vertailu[[#This Row],[Vaikuttavuusrahoitus 2021, €]]-Vertailu[[#This Row],[Vaikuttavuusrahoitus 2020, €]]</f>
        <v>-436740</v>
      </c>
      <c r="AI115" s="43">
        <f>IFERROR(Vertailu[[#This Row],[Vaikuttavuusrahoituksen muutos, €]]/Vertailu[[#This Row],[Vaikuttavuusrahoitus 2020, €]],0)</f>
        <v>-6.4372577405835546E-2</v>
      </c>
    </row>
    <row r="116" spans="1:35" ht="12.75" customHeight="1" x14ac:dyDescent="0.25">
      <c r="A116" s="22" t="s">
        <v>268</v>
      </c>
      <c r="B116" s="236" t="s">
        <v>114</v>
      </c>
      <c r="C116" s="142" t="s">
        <v>249</v>
      </c>
      <c r="D116" s="170" t="s">
        <v>391</v>
      </c>
      <c r="E116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0.67658428556913885</v>
      </c>
      <c r="F116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0.67897443836157667</v>
      </c>
      <c r="G116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0.20859926183972322</v>
      </c>
      <c r="H116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0.11242629979870006</v>
      </c>
      <c r="I116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8.0938704339572079E-2</v>
      </c>
      <c r="J116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7.6228161339325536E-3</v>
      </c>
      <c r="K116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2.3864779325195418E-2</v>
      </c>
      <c r="L116" s="18">
        <f>IFERROR(VLOOKUP(Vertailu[[#This Row],[Y-tunnus]],'Suoritepäätös 2020'!$Q:$AC,COLUMN('Suoritepäätös 2020'!L:L),FALSE)-VLOOKUP(Vertailu[[#This Row],[Y-tunnus]],'Suoritepäätös 2020'!$B:$N,COLUMN('Suoritepäätös 2020'!F:F),FALSE),0)</f>
        <v>45008372</v>
      </c>
      <c r="M116" s="18">
        <f>IFERROR(VLOOKUP(Vertailu[[#This Row],[Y-tunnus]],'1.2 Ohjaus-laskentataulu'!A:AY,COLUMN('1.2 Ohjaus-laskentataulu'!Z:Z),FALSE),0)</f>
        <v>46746929</v>
      </c>
      <c r="N116" s="18">
        <f>IFERROR(Vertailu[[#This Row],[Rahoitus pl. hark. kor. 2021 ilman alv, €]]-Vertailu[[#This Row],[Rahoitus pl. hark. kor. 2020 ilman alv, €]],0)</f>
        <v>1738557</v>
      </c>
      <c r="O116" s="43">
        <f>IFERROR(Vertailu[[#This Row],[Muutos, € 1]]/Vertailu[[#This Row],[Rahoitus pl. hark. kor. 2020 ilman alv, €]],0)</f>
        <v>3.8627413584299386E-2</v>
      </c>
      <c r="P116" s="135">
        <f>IFERROR(VLOOKUP(Vertailu[[#This Row],[Y-tunnus]],'Suoritepäätös 2020'!$Q:$AC,COLUMN('Suoritepäätös 2020'!L:L),FALSE),0)</f>
        <v>45023372</v>
      </c>
      <c r="Q116" s="138">
        <f>IFERROR(VLOOKUP(Vertailu[[#This Row],[Y-tunnus]],'1.2 Ohjaus-laskentataulu'!A:AY,COLUMN('1.2 Ohjaus-laskentataulu'!AV:AV),FALSE),0)</f>
        <v>46858929</v>
      </c>
      <c r="R116" s="18">
        <f>IFERROR(Vertailu[[#This Row],[Rahoitus ml. hark. kor. 
2021 ilman alv, €]]-Vertailu[[#This Row],[Rahoitus ml. hark. kor. 
2020 ilman alv, €]],0)</f>
        <v>1835557</v>
      </c>
      <c r="S116" s="16">
        <f>IFERROR(Vertailu[[#This Row],[Muutos, € 2]]/Vertailu[[#This Row],[Rahoitus ml. hark. kor. 
2020 ilman alv, €]],0)</f>
        <v>4.07689810527741E-2</v>
      </c>
      <c r="T116" s="138">
        <f>IFERROR(VLOOKUP(Vertailu[[#This Row],[Y-tunnus]],'Suoritepäätös 2020'!$Q:$AC,COLUMN('Suoritepäätös 2020'!L:L),FALSE)+VLOOKUP(Vertailu[[#This Row],[Y-tunnus]],'Suoritepäätös 2020'!$Q:$AC,COLUMN('Suoritepäätös 2020'!M:M),FALSE),0)</f>
        <v>45023372</v>
      </c>
      <c r="U116" s="135">
        <f>IFERROR(VLOOKUP(Vertailu[[#This Row],[Y-tunnus]],'1.2 Ohjaus-laskentataulu'!A:AY,COLUMN('1.2 Ohjaus-laskentataulu'!AX:AX),FALSE),0)</f>
        <v>46858929</v>
      </c>
      <c r="V116" s="141">
        <f>IFERROR(Vertailu[[#This Row],[Rahoitus ml. hark. kor. + alv 2021, €]]-Vertailu[[#This Row],[Rahoitus ml. hark. kor. + alv 2020, €]],0)</f>
        <v>1835557</v>
      </c>
      <c r="W116" s="43">
        <f>IFERROR(Vertailu[[#This Row],[Muutos, € 3]]/Vertailu[[#This Row],[Rahoitus ml. hark. kor. + alv 2020, €]],0)</f>
        <v>4.07689810527741E-2</v>
      </c>
      <c r="X116" s="18">
        <f>IFERROR(VLOOKUP(Vertailu[[#This Row],[Y-tunnus]],'Suoritepäätös 2020'!$B:$N,COLUMN('Suoritepäätös 2020'!G:G),FALSE),0)</f>
        <v>29572030</v>
      </c>
      <c r="Y116" s="18">
        <f>IFERROR(VLOOKUP(Vertailu[[#This Row],[Y-tunnus]],'1.2 Ohjaus-laskentataulu'!A:AY,COLUMN('1.2 Ohjaus-laskentataulu'!AS:AS),FALSE),0)</f>
        <v>31816015</v>
      </c>
      <c r="Z116" s="18">
        <f>Vertailu[[#This Row],[Perusrahoitus 2021, €]]-Vertailu[[#This Row],[Perusrahoitus 2020, €]]</f>
        <v>2243985</v>
      </c>
      <c r="AA116" s="43">
        <f>IFERROR(Vertailu[[#This Row],[Perusrahoituksen muutos, €]]/Vertailu[[#This Row],[Perusrahoitus 2020, €]],0)</f>
        <v>7.588200742390698E-2</v>
      </c>
      <c r="AB116" s="18">
        <f>IFERROR(VLOOKUP(Vertailu[[#This Row],[Y-tunnus]],'Suoritepäätös 2020'!$B:$N,COLUMN('Suoritepäätös 2020'!M:M),FALSE),0)</f>
        <v>10102290</v>
      </c>
      <c r="AC116" s="18">
        <f>IFERROR(VLOOKUP(Vertailu[[#This Row],[Y-tunnus]],'1.2 Ohjaus-laskentataulu'!A:AY,COLUMN('1.2 Ohjaus-laskentataulu'!O:O),FALSE),0)</f>
        <v>9774738</v>
      </c>
      <c r="AD116" s="18">
        <f>Vertailu[[#This Row],[Suoritusrahoitus 2021, €]]-Vertailu[[#This Row],[Suoritusrahoitus 2020, €]]</f>
        <v>-327552</v>
      </c>
      <c r="AE116" s="43">
        <f>IFERROR(Vertailu[[#This Row],[Suoritusrahoituksen muutos, €]]/Vertailu[[#This Row],[Suoritusrahoitus 2020, €]],0)</f>
        <v>-3.2423539613295596E-2</v>
      </c>
      <c r="AF116" s="18">
        <f>IFERROR(VLOOKUP(Vertailu[[#This Row],[Y-tunnus]],'Suoritepäätös 2020'!$Q:$AC,COLUMN('Suoritepäätös 2020'!K:K),FALSE),0)</f>
        <v>5349052</v>
      </c>
      <c r="AG116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5268176</v>
      </c>
      <c r="AH116" s="18">
        <f>Vertailu[[#This Row],[Vaikuttavuusrahoitus 2021, €]]-Vertailu[[#This Row],[Vaikuttavuusrahoitus 2020, €]]</f>
        <v>-80876</v>
      </c>
      <c r="AI116" s="43">
        <f>IFERROR(Vertailu[[#This Row],[Vaikuttavuusrahoituksen muutos, €]]/Vertailu[[#This Row],[Vaikuttavuusrahoitus 2020, €]],0)</f>
        <v>-1.5119688498074052E-2</v>
      </c>
    </row>
    <row r="117" spans="1:35" ht="12.75" customHeight="1" x14ac:dyDescent="0.25">
      <c r="A117" s="22" t="s">
        <v>267</v>
      </c>
      <c r="B117" s="236" t="s">
        <v>115</v>
      </c>
      <c r="C117" s="142" t="s">
        <v>216</v>
      </c>
      <c r="D117" s="170" t="s">
        <v>392</v>
      </c>
      <c r="E117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0.68746420980675982</v>
      </c>
      <c r="F117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0.68746420980675982</v>
      </c>
      <c r="G117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0.21751442898181597</v>
      </c>
      <c r="H117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9.5021361211424224E-2</v>
      </c>
      <c r="I117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6.5543650236311729E-2</v>
      </c>
      <c r="J117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5.9308730813448333E-3</v>
      </c>
      <c r="K117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2.3546837893767665E-2</v>
      </c>
      <c r="L117" s="18">
        <f>IFERROR(VLOOKUP(Vertailu[[#This Row],[Y-tunnus]],'Suoritepäätös 2020'!$Q:$AC,COLUMN('Suoritepäätös 2020'!L:L),FALSE)-VLOOKUP(Vertailu[[#This Row],[Y-tunnus]],'Suoritepäätös 2020'!$B:$N,COLUMN('Suoritepäätös 2020'!F:F),FALSE),0)</f>
        <v>18053482</v>
      </c>
      <c r="M117" s="18">
        <f>IFERROR(VLOOKUP(Vertailu[[#This Row],[Y-tunnus]],'1.2 Ohjaus-laskentataulu'!A:AY,COLUMN('1.2 Ohjaus-laskentataulu'!Z:Z),FALSE),0)</f>
        <v>18533359</v>
      </c>
      <c r="N117" s="18">
        <f>IFERROR(Vertailu[[#This Row],[Rahoitus pl. hark. kor. 2021 ilman alv, €]]-Vertailu[[#This Row],[Rahoitus pl. hark. kor. 2020 ilman alv, €]],0)</f>
        <v>479877</v>
      </c>
      <c r="O117" s="43">
        <f>IFERROR(Vertailu[[#This Row],[Muutos, € 1]]/Vertailu[[#This Row],[Rahoitus pl. hark. kor. 2020 ilman alv, €]],0)</f>
        <v>2.6580855704179392E-2</v>
      </c>
      <c r="P117" s="135">
        <f>IFERROR(VLOOKUP(Vertailu[[#This Row],[Y-tunnus]],'Suoritepäätös 2020'!$Q:$AC,COLUMN('Suoritepäätös 2020'!L:L),FALSE),0)</f>
        <v>18101482</v>
      </c>
      <c r="Q117" s="138">
        <f>IFERROR(VLOOKUP(Vertailu[[#This Row],[Y-tunnus]],'1.2 Ohjaus-laskentataulu'!A:AY,COLUMN('1.2 Ohjaus-laskentataulu'!AV:AV),FALSE),0)</f>
        <v>18533359</v>
      </c>
      <c r="R117" s="18">
        <f>IFERROR(Vertailu[[#This Row],[Rahoitus ml. hark. kor. 
2021 ilman alv, €]]-Vertailu[[#This Row],[Rahoitus ml. hark. kor. 
2020 ilman alv, €]],0)</f>
        <v>431877</v>
      </c>
      <c r="S117" s="16">
        <f>IFERROR(Vertailu[[#This Row],[Muutos, € 2]]/Vertailu[[#This Row],[Rahoitus ml. hark. kor. 
2020 ilman alv, €]],0)</f>
        <v>2.3858654225107093E-2</v>
      </c>
      <c r="T117" s="138">
        <f>IFERROR(VLOOKUP(Vertailu[[#This Row],[Y-tunnus]],'Suoritepäätös 2020'!$Q:$AC,COLUMN('Suoritepäätös 2020'!L:L),FALSE)+VLOOKUP(Vertailu[[#This Row],[Y-tunnus]],'Suoritepäätös 2020'!$Q:$AC,COLUMN('Suoritepäätös 2020'!M:M),FALSE),0)</f>
        <v>18521632</v>
      </c>
      <c r="U117" s="135">
        <f>IFERROR(VLOOKUP(Vertailu[[#This Row],[Y-tunnus]],'1.2 Ohjaus-laskentataulu'!A:AY,COLUMN('1.2 Ohjaus-laskentataulu'!AX:AX),FALSE),0)</f>
        <v>19426859</v>
      </c>
      <c r="V117" s="141">
        <f>IFERROR(Vertailu[[#This Row],[Rahoitus ml. hark. kor. + alv 2021, €]]-Vertailu[[#This Row],[Rahoitus ml. hark. kor. + alv 2020, €]],0)</f>
        <v>905227</v>
      </c>
      <c r="W117" s="43">
        <f>IFERROR(Vertailu[[#This Row],[Muutos, € 3]]/Vertailu[[#This Row],[Rahoitus ml. hark. kor. + alv 2020, €]],0)</f>
        <v>4.8874040905250681E-2</v>
      </c>
      <c r="X117" s="18">
        <f>IFERROR(VLOOKUP(Vertailu[[#This Row],[Y-tunnus]],'Suoritepäätös 2020'!$B:$N,COLUMN('Suoritepäätös 2020'!G:G),FALSE),0)</f>
        <v>12191636</v>
      </c>
      <c r="Y117" s="18">
        <f>IFERROR(VLOOKUP(Vertailu[[#This Row],[Y-tunnus]],'1.2 Ohjaus-laskentataulu'!A:AY,COLUMN('1.2 Ohjaus-laskentataulu'!AS:AS),FALSE),0)</f>
        <v>12741021</v>
      </c>
      <c r="Z117" s="18">
        <f>Vertailu[[#This Row],[Perusrahoitus 2021, €]]-Vertailu[[#This Row],[Perusrahoitus 2020, €]]</f>
        <v>549385</v>
      </c>
      <c r="AA117" s="43">
        <f>IFERROR(Vertailu[[#This Row],[Perusrahoituksen muutos, €]]/Vertailu[[#This Row],[Perusrahoitus 2020, €]],0)</f>
        <v>4.5062451011496737E-2</v>
      </c>
      <c r="AB117" s="18">
        <f>IFERROR(VLOOKUP(Vertailu[[#This Row],[Y-tunnus]],'Suoritepäätös 2020'!$B:$N,COLUMN('Suoritepäätös 2020'!M:M),FALSE),0)</f>
        <v>4035024</v>
      </c>
      <c r="AC117" s="18">
        <f>IFERROR(VLOOKUP(Vertailu[[#This Row],[Y-tunnus]],'1.2 Ohjaus-laskentataulu'!A:AY,COLUMN('1.2 Ohjaus-laskentataulu'!O:O),FALSE),0)</f>
        <v>4031273</v>
      </c>
      <c r="AD117" s="18">
        <f>Vertailu[[#This Row],[Suoritusrahoitus 2021, €]]-Vertailu[[#This Row],[Suoritusrahoitus 2020, €]]</f>
        <v>-3751</v>
      </c>
      <c r="AE117" s="43">
        <f>IFERROR(Vertailu[[#This Row],[Suoritusrahoituksen muutos, €]]/Vertailu[[#This Row],[Suoritusrahoitus 2020, €]],0)</f>
        <v>-9.2961033193358954E-4</v>
      </c>
      <c r="AF117" s="18">
        <f>IFERROR(VLOOKUP(Vertailu[[#This Row],[Y-tunnus]],'Suoritepäätös 2020'!$Q:$AC,COLUMN('Suoritepäätös 2020'!K:K),FALSE),0)</f>
        <v>1874822</v>
      </c>
      <c r="AG117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1761065</v>
      </c>
      <c r="AH117" s="18">
        <f>Vertailu[[#This Row],[Vaikuttavuusrahoitus 2021, €]]-Vertailu[[#This Row],[Vaikuttavuusrahoitus 2020, €]]</f>
        <v>-113757</v>
      </c>
      <c r="AI117" s="43">
        <f>IFERROR(Vertailu[[#This Row],[Vaikuttavuusrahoituksen muutos, €]]/Vertailu[[#This Row],[Vaikuttavuusrahoitus 2020, €]],0)</f>
        <v>-6.0676160190140715E-2</v>
      </c>
    </row>
    <row r="118" spans="1:35" ht="12.75" customHeight="1" x14ac:dyDescent="0.25">
      <c r="A118" s="22" t="s">
        <v>266</v>
      </c>
      <c r="B118" s="236" t="s">
        <v>176</v>
      </c>
      <c r="C118" s="142" t="s">
        <v>265</v>
      </c>
      <c r="D118" s="170" t="s">
        <v>392</v>
      </c>
      <c r="E118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5.700326836773454E-2</v>
      </c>
      <c r="F118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1</v>
      </c>
      <c r="G118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</v>
      </c>
      <c r="H118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</v>
      </c>
      <c r="I118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</v>
      </c>
      <c r="J118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0</v>
      </c>
      <c r="K118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0</v>
      </c>
      <c r="L118" s="18">
        <f>IFERROR(VLOOKUP(Vertailu[[#This Row],[Y-tunnus]],'Suoritepäätös 2020'!$Q:$AC,COLUMN('Suoritepäätös 2020'!L:L),FALSE)-VLOOKUP(Vertailu[[#This Row],[Y-tunnus]],'Suoritepäätös 2020'!$B:$N,COLUMN('Suoritepäätös 2020'!F:F),FALSE),0)</f>
        <v>446770</v>
      </c>
      <c r="M118" s="18">
        <f>IFERROR(VLOOKUP(Vertailu[[#This Row],[Y-tunnus]],'1.2 Ohjaus-laskentataulu'!A:AY,COLUMN('1.2 Ohjaus-laskentataulu'!Z:Z),FALSE),0)</f>
        <v>386874</v>
      </c>
      <c r="N118" s="18">
        <f>IFERROR(Vertailu[[#This Row],[Rahoitus pl. hark. kor. 2021 ilman alv, €]]-Vertailu[[#This Row],[Rahoitus pl. hark. kor. 2020 ilman alv, €]],0)</f>
        <v>-59896</v>
      </c>
      <c r="O118" s="43">
        <f>IFERROR(Vertailu[[#This Row],[Muutos, € 1]]/Vertailu[[#This Row],[Rahoitus pl. hark. kor. 2020 ilman alv, €]],0)</f>
        <v>-0.13406450746469101</v>
      </c>
      <c r="P118" s="135">
        <f>IFERROR(VLOOKUP(Vertailu[[#This Row],[Y-tunnus]],'Suoritepäätös 2020'!$Q:$AC,COLUMN('Suoritepäätös 2020'!L:L),FALSE),0)</f>
        <v>6446770</v>
      </c>
      <c r="Q118" s="138">
        <f>IFERROR(VLOOKUP(Vertailu[[#This Row],[Y-tunnus]],'1.2 Ohjaus-laskentataulu'!A:AY,COLUMN('1.2 Ohjaus-laskentataulu'!AV:AV),FALSE),0)</f>
        <v>6786874</v>
      </c>
      <c r="R118" s="18">
        <f>IFERROR(Vertailu[[#This Row],[Rahoitus ml. hark. kor. 
2021 ilman alv, €]]-Vertailu[[#This Row],[Rahoitus ml. hark. kor. 
2020 ilman alv, €]],0)</f>
        <v>340104</v>
      </c>
      <c r="S118" s="16">
        <f>IFERROR(Vertailu[[#This Row],[Muutos, € 2]]/Vertailu[[#This Row],[Rahoitus ml. hark. kor. 
2020 ilman alv, €]],0)</f>
        <v>5.2755721082030228E-2</v>
      </c>
      <c r="T118" s="138">
        <f>IFERROR(VLOOKUP(Vertailu[[#This Row],[Y-tunnus]],'Suoritepäätös 2020'!$Q:$AC,COLUMN('Suoritepäätös 2020'!L:L),FALSE)+VLOOKUP(Vertailu[[#This Row],[Y-tunnus]],'Suoritepäätös 2020'!$Q:$AC,COLUMN('Suoritepäätös 2020'!M:M),FALSE),0)</f>
        <v>7696710</v>
      </c>
      <c r="U118" s="135">
        <f>IFERROR(VLOOKUP(Vertailu[[#This Row],[Y-tunnus]],'1.2 Ohjaus-laskentataulu'!A:AY,COLUMN('1.2 Ohjaus-laskentataulu'!AX:AX),FALSE),0)</f>
        <v>7903126</v>
      </c>
      <c r="V118" s="141">
        <f>IFERROR(Vertailu[[#This Row],[Rahoitus ml. hark. kor. + alv 2021, €]]-Vertailu[[#This Row],[Rahoitus ml. hark. kor. + alv 2020, €]],0)</f>
        <v>206416</v>
      </c>
      <c r="W118" s="43">
        <f>IFERROR(Vertailu[[#This Row],[Muutos, € 3]]/Vertailu[[#This Row],[Rahoitus ml. hark. kor. + alv 2020, €]],0)</f>
        <v>2.6818731639882496E-2</v>
      </c>
      <c r="X118" s="18">
        <f>IFERROR(VLOOKUP(Vertailu[[#This Row],[Y-tunnus]],'Suoritepäätös 2020'!$B:$N,COLUMN('Suoritepäätös 2020'!G:G),FALSE),0)</f>
        <v>6446770</v>
      </c>
      <c r="Y118" s="18">
        <f>IFERROR(VLOOKUP(Vertailu[[#This Row],[Y-tunnus]],'1.2 Ohjaus-laskentataulu'!A:AY,COLUMN('1.2 Ohjaus-laskentataulu'!AS:AS),FALSE),0)</f>
        <v>6786874</v>
      </c>
      <c r="Z118" s="18">
        <f>Vertailu[[#This Row],[Perusrahoitus 2021, €]]-Vertailu[[#This Row],[Perusrahoitus 2020, €]]</f>
        <v>340104</v>
      </c>
      <c r="AA118" s="43">
        <f>IFERROR(Vertailu[[#This Row],[Perusrahoituksen muutos, €]]/Vertailu[[#This Row],[Perusrahoitus 2020, €]],0)</f>
        <v>5.2755721082030228E-2</v>
      </c>
      <c r="AB118" s="18">
        <f>IFERROR(VLOOKUP(Vertailu[[#This Row],[Y-tunnus]],'Suoritepäätös 2020'!$B:$N,COLUMN('Suoritepäätös 2020'!M:M),FALSE),0)</f>
        <v>0</v>
      </c>
      <c r="AC118" s="18">
        <f>IFERROR(VLOOKUP(Vertailu[[#This Row],[Y-tunnus]],'1.2 Ohjaus-laskentataulu'!A:AY,COLUMN('1.2 Ohjaus-laskentataulu'!O:O),FALSE),0)</f>
        <v>0</v>
      </c>
      <c r="AD118" s="18">
        <f>Vertailu[[#This Row],[Suoritusrahoitus 2021, €]]-Vertailu[[#This Row],[Suoritusrahoitus 2020, €]]</f>
        <v>0</v>
      </c>
      <c r="AE118" s="43">
        <f>IFERROR(Vertailu[[#This Row],[Suoritusrahoituksen muutos, €]]/Vertailu[[#This Row],[Suoritusrahoitus 2020, €]],0)</f>
        <v>0</v>
      </c>
      <c r="AF118" s="18">
        <f>IFERROR(VLOOKUP(Vertailu[[#This Row],[Y-tunnus]],'Suoritepäätös 2020'!$Q:$AC,COLUMN('Suoritepäätös 2020'!K:K),FALSE),0)</f>
        <v>0</v>
      </c>
      <c r="AG118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0</v>
      </c>
      <c r="AH118" s="18">
        <f>Vertailu[[#This Row],[Vaikuttavuusrahoitus 2021, €]]-Vertailu[[#This Row],[Vaikuttavuusrahoitus 2020, €]]</f>
        <v>0</v>
      </c>
      <c r="AI118" s="43">
        <f>IFERROR(Vertailu[[#This Row],[Vaikuttavuusrahoituksen muutos, €]]/Vertailu[[#This Row],[Vaikuttavuusrahoitus 2020, €]],0)</f>
        <v>0</v>
      </c>
    </row>
    <row r="119" spans="1:35" ht="12.75" customHeight="1" x14ac:dyDescent="0.25">
      <c r="A119" s="22" t="s">
        <v>264</v>
      </c>
      <c r="B119" s="236" t="s">
        <v>116</v>
      </c>
      <c r="C119" s="142" t="s">
        <v>216</v>
      </c>
      <c r="D119" s="170" t="s">
        <v>392</v>
      </c>
      <c r="E119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0.33859181646489989</v>
      </c>
      <c r="F119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0.78628693277443296</v>
      </c>
      <c r="G119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0.1685538950304184</v>
      </c>
      <c r="H119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4.5159172195148645E-2</v>
      </c>
      <c r="I119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3.602121743225295E-2</v>
      </c>
      <c r="J119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4.1453251510141951E-3</v>
      </c>
      <c r="K119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4.992629611881497E-3</v>
      </c>
      <c r="L119" s="18">
        <f>IFERROR(VLOOKUP(Vertailu[[#This Row],[Y-tunnus]],'Suoritepäätös 2020'!$Q:$AC,COLUMN('Suoritepäätös 2020'!L:L),FALSE)-VLOOKUP(Vertailu[[#This Row],[Y-tunnus]],'Suoritepäätös 2020'!$B:$N,COLUMN('Suoritepäätös 2020'!F:F),FALSE),0)</f>
        <v>292175</v>
      </c>
      <c r="M119" s="18">
        <f>IFERROR(VLOOKUP(Vertailu[[#This Row],[Y-tunnus]],'1.2 Ohjaus-laskentataulu'!A:AY,COLUMN('1.2 Ohjaus-laskentataulu'!Z:Z),FALSE),0)</f>
        <v>333089</v>
      </c>
      <c r="N119" s="18">
        <f>IFERROR(Vertailu[[#This Row],[Rahoitus pl. hark. kor. 2021 ilman alv, €]]-Vertailu[[#This Row],[Rahoitus pl. hark. kor. 2020 ilman alv, €]],0)</f>
        <v>40914</v>
      </c>
      <c r="O119" s="43">
        <f>IFERROR(Vertailu[[#This Row],[Muutos, € 1]]/Vertailu[[#This Row],[Rahoitus pl. hark. kor. 2020 ilman alv, €]],0)</f>
        <v>0.14003251475998973</v>
      </c>
      <c r="P119" s="135">
        <f>IFERROR(VLOOKUP(Vertailu[[#This Row],[Y-tunnus]],'Suoritepäätös 2020'!$Q:$AC,COLUMN('Suoritepäätös 2020'!L:L),FALSE),0)</f>
        <v>542175</v>
      </c>
      <c r="Q119" s="138">
        <f>IFERROR(VLOOKUP(Vertailu[[#This Row],[Y-tunnus]],'1.2 Ohjaus-laskentataulu'!A:AY,COLUMN('1.2 Ohjaus-laskentataulu'!AV:AV),FALSE),0)</f>
        <v>603089</v>
      </c>
      <c r="R119" s="18">
        <f>IFERROR(Vertailu[[#This Row],[Rahoitus ml. hark. kor. 
2021 ilman alv, €]]-Vertailu[[#This Row],[Rahoitus ml. hark. kor. 
2020 ilman alv, €]],0)</f>
        <v>60914</v>
      </c>
      <c r="S119" s="16">
        <f>IFERROR(Vertailu[[#This Row],[Muutos, € 2]]/Vertailu[[#This Row],[Rahoitus ml. hark. kor. 
2020 ilman alv, €]],0)</f>
        <v>0.1123511781251441</v>
      </c>
      <c r="T119" s="138">
        <f>IFERROR(VLOOKUP(Vertailu[[#This Row],[Y-tunnus]],'Suoritepäätös 2020'!$Q:$AC,COLUMN('Suoritepäätös 2020'!L:L),FALSE)+VLOOKUP(Vertailu[[#This Row],[Y-tunnus]],'Suoritepäätös 2020'!$Q:$AC,COLUMN('Suoritepäätös 2020'!M:M),FALSE),0)</f>
        <v>591762</v>
      </c>
      <c r="U119" s="135">
        <f>IFERROR(VLOOKUP(Vertailu[[#This Row],[Y-tunnus]],'1.2 Ohjaus-laskentataulu'!A:AY,COLUMN('1.2 Ohjaus-laskentataulu'!AX:AX),FALSE),0)</f>
        <v>654208</v>
      </c>
      <c r="V119" s="141">
        <f>IFERROR(Vertailu[[#This Row],[Rahoitus ml. hark. kor. + alv 2021, €]]-Vertailu[[#This Row],[Rahoitus ml. hark. kor. + alv 2020, €]],0)</f>
        <v>62446</v>
      </c>
      <c r="W119" s="43">
        <f>IFERROR(Vertailu[[#This Row],[Muutos, € 3]]/Vertailu[[#This Row],[Rahoitus ml. hark. kor. + alv 2020, €]],0)</f>
        <v>0.10552553222410362</v>
      </c>
      <c r="X119" s="18">
        <f>IFERROR(VLOOKUP(Vertailu[[#This Row],[Y-tunnus]],'Suoritepäätös 2020'!$B:$N,COLUMN('Suoritepäätös 2020'!G:G),FALSE),0)</f>
        <v>445941</v>
      </c>
      <c r="Y119" s="18">
        <f>IFERROR(VLOOKUP(Vertailu[[#This Row],[Y-tunnus]],'1.2 Ohjaus-laskentataulu'!A:AY,COLUMN('1.2 Ohjaus-laskentataulu'!AS:AS),FALSE),0)</f>
        <v>474201</v>
      </c>
      <c r="Z119" s="18">
        <f>Vertailu[[#This Row],[Perusrahoitus 2021, €]]-Vertailu[[#This Row],[Perusrahoitus 2020, €]]</f>
        <v>28260</v>
      </c>
      <c r="AA119" s="43">
        <f>IFERROR(Vertailu[[#This Row],[Perusrahoituksen muutos, €]]/Vertailu[[#This Row],[Perusrahoitus 2020, €]],0)</f>
        <v>6.3371611939696065E-2</v>
      </c>
      <c r="AB119" s="18">
        <f>IFERROR(VLOOKUP(Vertailu[[#This Row],[Y-tunnus]],'Suoritepäätös 2020'!$B:$N,COLUMN('Suoritepäätös 2020'!M:M),FALSE),0)</f>
        <v>69856</v>
      </c>
      <c r="AC119" s="18">
        <f>IFERROR(VLOOKUP(Vertailu[[#This Row],[Y-tunnus]],'1.2 Ohjaus-laskentataulu'!A:AY,COLUMN('1.2 Ohjaus-laskentataulu'!O:O),FALSE),0)</f>
        <v>101653</v>
      </c>
      <c r="AD119" s="18">
        <f>Vertailu[[#This Row],[Suoritusrahoitus 2021, €]]-Vertailu[[#This Row],[Suoritusrahoitus 2020, €]]</f>
        <v>31797</v>
      </c>
      <c r="AE119" s="43">
        <f>IFERROR(Vertailu[[#This Row],[Suoritusrahoituksen muutos, €]]/Vertailu[[#This Row],[Suoritusrahoitus 2020, €]],0)</f>
        <v>0.45517922583600551</v>
      </c>
      <c r="AF119" s="18">
        <f>IFERROR(VLOOKUP(Vertailu[[#This Row],[Y-tunnus]],'Suoritepäätös 2020'!$Q:$AC,COLUMN('Suoritepäätös 2020'!K:K),FALSE),0)</f>
        <v>26378</v>
      </c>
      <c r="AG119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27235</v>
      </c>
      <c r="AH119" s="18">
        <f>Vertailu[[#This Row],[Vaikuttavuusrahoitus 2021, €]]-Vertailu[[#This Row],[Vaikuttavuusrahoitus 2020, €]]</f>
        <v>857</v>
      </c>
      <c r="AI119" s="43">
        <f>IFERROR(Vertailu[[#This Row],[Vaikuttavuusrahoituksen muutos, €]]/Vertailu[[#This Row],[Vaikuttavuusrahoitus 2020, €]],0)</f>
        <v>3.2489195541739326E-2</v>
      </c>
    </row>
    <row r="120" spans="1:35" ht="12.75" customHeight="1" x14ac:dyDescent="0.25">
      <c r="A120" s="22" t="s">
        <v>263</v>
      </c>
      <c r="B120" s="236" t="s">
        <v>148</v>
      </c>
      <c r="C120" s="142" t="s">
        <v>216</v>
      </c>
      <c r="D120" s="170" t="s">
        <v>392</v>
      </c>
      <c r="E120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0.62321534043463211</v>
      </c>
      <c r="F120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0.62321534043463211</v>
      </c>
      <c r="G120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0.23489276767347603</v>
      </c>
      <c r="H120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0.14189189189189189</v>
      </c>
      <c r="I120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6.1997189352125295E-2</v>
      </c>
      <c r="J120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2.3050367624595204E-2</v>
      </c>
      <c r="K120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5.6844334915171386E-2</v>
      </c>
      <c r="L120" s="18">
        <f>IFERROR(VLOOKUP(Vertailu[[#This Row],[Y-tunnus]],'Suoritepäätös 2020'!$Q:$AC,COLUMN('Suoritepäätös 2020'!L:L),FALSE)-VLOOKUP(Vertailu[[#This Row],[Y-tunnus]],'Suoritepäätös 2020'!$B:$N,COLUMN('Suoritepäätös 2020'!F:F),FALSE),0)</f>
        <v>189379</v>
      </c>
      <c r="M120" s="18">
        <f>IFERROR(VLOOKUP(Vertailu[[#This Row],[Y-tunnus]],'1.2 Ohjaus-laskentataulu'!A:AY,COLUMN('1.2 Ohjaus-laskentataulu'!Z:Z),FALSE),0)</f>
        <v>196396</v>
      </c>
      <c r="N120" s="18">
        <f>IFERROR(Vertailu[[#This Row],[Rahoitus pl. hark. kor. 2021 ilman alv, €]]-Vertailu[[#This Row],[Rahoitus pl. hark. kor. 2020 ilman alv, €]],0)</f>
        <v>7017</v>
      </c>
      <c r="O120" s="43">
        <f>IFERROR(Vertailu[[#This Row],[Muutos, € 1]]/Vertailu[[#This Row],[Rahoitus pl. hark. kor. 2020 ilman alv, €]],0)</f>
        <v>3.7052682715612607E-2</v>
      </c>
      <c r="P120" s="135">
        <f>IFERROR(VLOOKUP(Vertailu[[#This Row],[Y-tunnus]],'Suoritepäätös 2020'!$Q:$AC,COLUMN('Suoritepäätös 2020'!L:L),FALSE),0)</f>
        <v>189379</v>
      </c>
      <c r="Q120" s="138">
        <f>IFERROR(VLOOKUP(Vertailu[[#This Row],[Y-tunnus]],'1.2 Ohjaus-laskentataulu'!A:AY,COLUMN('1.2 Ohjaus-laskentataulu'!AV:AV),FALSE),0)</f>
        <v>196396</v>
      </c>
      <c r="R120" s="18">
        <f>IFERROR(Vertailu[[#This Row],[Rahoitus ml. hark. kor. 
2021 ilman alv, €]]-Vertailu[[#This Row],[Rahoitus ml. hark. kor. 
2020 ilman alv, €]],0)</f>
        <v>7017</v>
      </c>
      <c r="S120" s="16">
        <f>IFERROR(Vertailu[[#This Row],[Muutos, € 2]]/Vertailu[[#This Row],[Rahoitus ml. hark. kor. 
2020 ilman alv, €]],0)</f>
        <v>3.7052682715612607E-2</v>
      </c>
      <c r="T120" s="138">
        <f>IFERROR(VLOOKUP(Vertailu[[#This Row],[Y-tunnus]],'Suoritepäätös 2020'!$Q:$AC,COLUMN('Suoritepäätös 2020'!L:L),FALSE)+VLOOKUP(Vertailu[[#This Row],[Y-tunnus]],'Suoritepäätös 2020'!$Q:$AC,COLUMN('Suoritepäätös 2020'!M:M),FALSE),0)</f>
        <v>199840</v>
      </c>
      <c r="U120" s="135">
        <f>IFERROR(VLOOKUP(Vertailu[[#This Row],[Y-tunnus]],'1.2 Ohjaus-laskentataulu'!A:AY,COLUMN('1.2 Ohjaus-laskentataulu'!AX:AX),FALSE),0)</f>
        <v>214769</v>
      </c>
      <c r="V120" s="141">
        <f>IFERROR(Vertailu[[#This Row],[Rahoitus ml. hark. kor. + alv 2021, €]]-Vertailu[[#This Row],[Rahoitus ml. hark. kor. + alv 2020, €]],0)</f>
        <v>14929</v>
      </c>
      <c r="W120" s="43">
        <f>IFERROR(Vertailu[[#This Row],[Muutos, € 3]]/Vertailu[[#This Row],[Rahoitus ml. hark. kor. + alv 2020, €]],0)</f>
        <v>7.4704763811048833E-2</v>
      </c>
      <c r="X120" s="18">
        <f>IFERROR(VLOOKUP(Vertailu[[#This Row],[Y-tunnus]],'Suoritepäätös 2020'!$B:$N,COLUMN('Suoritepäätös 2020'!G:G),FALSE),0)</f>
        <v>117447</v>
      </c>
      <c r="Y120" s="18">
        <f>IFERROR(VLOOKUP(Vertailu[[#This Row],[Y-tunnus]],'1.2 Ohjaus-laskentataulu'!A:AY,COLUMN('1.2 Ohjaus-laskentataulu'!AS:AS),FALSE),0)</f>
        <v>122397</v>
      </c>
      <c r="Z120" s="18">
        <f>Vertailu[[#This Row],[Perusrahoitus 2021, €]]-Vertailu[[#This Row],[Perusrahoitus 2020, €]]</f>
        <v>4950</v>
      </c>
      <c r="AA120" s="43">
        <f>IFERROR(Vertailu[[#This Row],[Perusrahoituksen muutos, €]]/Vertailu[[#This Row],[Perusrahoitus 2020, €]],0)</f>
        <v>4.2146670413037372E-2</v>
      </c>
      <c r="AB120" s="18">
        <f>IFERROR(VLOOKUP(Vertailu[[#This Row],[Y-tunnus]],'Suoritepäätös 2020'!$B:$N,COLUMN('Suoritepäätös 2020'!M:M),FALSE),0)</f>
        <v>47523</v>
      </c>
      <c r="AC120" s="18">
        <f>IFERROR(VLOOKUP(Vertailu[[#This Row],[Y-tunnus]],'1.2 Ohjaus-laskentataulu'!A:AY,COLUMN('1.2 Ohjaus-laskentataulu'!O:O),FALSE),0)</f>
        <v>46132</v>
      </c>
      <c r="AD120" s="18">
        <f>Vertailu[[#This Row],[Suoritusrahoitus 2021, €]]-Vertailu[[#This Row],[Suoritusrahoitus 2020, €]]</f>
        <v>-1391</v>
      </c>
      <c r="AE120" s="43">
        <f>IFERROR(Vertailu[[#This Row],[Suoritusrahoituksen muutos, €]]/Vertailu[[#This Row],[Suoritusrahoitus 2020, €]],0)</f>
        <v>-2.9270037665972266E-2</v>
      </c>
      <c r="AF120" s="18">
        <f>IFERROR(VLOOKUP(Vertailu[[#This Row],[Y-tunnus]],'Suoritepäätös 2020'!$Q:$AC,COLUMN('Suoritepäätös 2020'!K:K),FALSE),0)</f>
        <v>24409</v>
      </c>
      <c r="AG120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27867</v>
      </c>
      <c r="AH120" s="18">
        <f>Vertailu[[#This Row],[Vaikuttavuusrahoitus 2021, €]]-Vertailu[[#This Row],[Vaikuttavuusrahoitus 2020, €]]</f>
        <v>3458</v>
      </c>
      <c r="AI120" s="43">
        <f>IFERROR(Vertailu[[#This Row],[Vaikuttavuusrahoituksen muutos, €]]/Vertailu[[#This Row],[Vaikuttavuusrahoitus 2020, €]],0)</f>
        <v>0.14166905649555492</v>
      </c>
    </row>
    <row r="121" spans="1:35" ht="12.75" customHeight="1" x14ac:dyDescent="0.25">
      <c r="A121" s="22" t="s">
        <v>262</v>
      </c>
      <c r="B121" s="236" t="s">
        <v>117</v>
      </c>
      <c r="C121" s="142" t="s">
        <v>250</v>
      </c>
      <c r="D121" s="170" t="s">
        <v>392</v>
      </c>
      <c r="E121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0.7046155858992319</v>
      </c>
      <c r="F121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0.72455986954842955</v>
      </c>
      <c r="G121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0.19757206268568128</v>
      </c>
      <c r="H121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7.7868067765889212E-2</v>
      </c>
      <c r="I121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5.9553630976504041E-2</v>
      </c>
      <c r="J121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5.0028241105647261E-3</v>
      </c>
      <c r="K121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1.3311612678820446E-2</v>
      </c>
      <c r="L121" s="18">
        <f>IFERROR(VLOOKUP(Vertailu[[#This Row],[Y-tunnus]],'Suoritepäätös 2020'!$Q:$AC,COLUMN('Suoritepäätös 2020'!L:L),FALSE)-VLOOKUP(Vertailu[[#This Row],[Y-tunnus]],'Suoritepäätös 2020'!$B:$N,COLUMN('Suoritepäätös 2020'!F:F),FALSE),0)</f>
        <v>1085673</v>
      </c>
      <c r="M121" s="18">
        <f>IFERROR(VLOOKUP(Vertailu[[#This Row],[Y-tunnus]],'1.2 Ohjaus-laskentataulu'!A:AY,COLUMN('1.2 Ohjaus-laskentataulu'!Z:Z),FALSE),0)</f>
        <v>1228492</v>
      </c>
      <c r="N121" s="18">
        <f>IFERROR(Vertailu[[#This Row],[Rahoitus pl. hark. kor. 2021 ilman alv, €]]-Vertailu[[#This Row],[Rahoitus pl. hark. kor. 2020 ilman alv, €]],0)</f>
        <v>142819</v>
      </c>
      <c r="O121" s="43">
        <f>IFERROR(Vertailu[[#This Row],[Muutos, € 1]]/Vertailu[[#This Row],[Rahoitus pl. hark. kor. 2020 ilman alv, €]],0)</f>
        <v>0.13154881810637273</v>
      </c>
      <c r="P121" s="135">
        <f>IFERROR(VLOOKUP(Vertailu[[#This Row],[Y-tunnus]],'Suoritepäätös 2020'!$Q:$AC,COLUMN('Suoritepäätös 2020'!L:L),FALSE),0)</f>
        <v>1085673</v>
      </c>
      <c r="Q121" s="138">
        <f>IFERROR(VLOOKUP(Vertailu[[#This Row],[Y-tunnus]],'1.2 Ohjaus-laskentataulu'!A:AY,COLUMN('1.2 Ohjaus-laskentataulu'!AV:AV),FALSE),0)</f>
        <v>1253492</v>
      </c>
      <c r="R121" s="18">
        <f>IFERROR(Vertailu[[#This Row],[Rahoitus ml. hark. kor. 
2021 ilman alv, €]]-Vertailu[[#This Row],[Rahoitus ml. hark. kor. 
2020 ilman alv, €]],0)</f>
        <v>167819</v>
      </c>
      <c r="S121" s="16">
        <f>IFERROR(Vertailu[[#This Row],[Muutos, € 2]]/Vertailu[[#This Row],[Rahoitus ml. hark. kor. 
2020 ilman alv, €]],0)</f>
        <v>0.15457600953509942</v>
      </c>
      <c r="T121" s="138">
        <f>IFERROR(VLOOKUP(Vertailu[[#This Row],[Y-tunnus]],'Suoritepäätös 2020'!$Q:$AC,COLUMN('Suoritepäätös 2020'!L:L),FALSE)+VLOOKUP(Vertailu[[#This Row],[Y-tunnus]],'Suoritepäätös 2020'!$Q:$AC,COLUMN('Suoritepäätös 2020'!M:M),FALSE),0)</f>
        <v>1191944</v>
      </c>
      <c r="U121" s="135">
        <f>IFERROR(VLOOKUP(Vertailu[[#This Row],[Y-tunnus]],'1.2 Ohjaus-laskentataulu'!A:AY,COLUMN('1.2 Ohjaus-laskentataulu'!AX:AX),FALSE),0)</f>
        <v>1253492</v>
      </c>
      <c r="V121" s="141">
        <f>IFERROR(Vertailu[[#This Row],[Rahoitus ml. hark. kor. + alv 2021, €]]-Vertailu[[#This Row],[Rahoitus ml. hark. kor. + alv 2020, €]],0)</f>
        <v>61548</v>
      </c>
      <c r="W121" s="43">
        <f>IFERROR(Vertailu[[#This Row],[Muutos, € 3]]/Vertailu[[#This Row],[Rahoitus ml. hark. kor. + alv 2020, €]],0)</f>
        <v>5.1636654070996622E-2</v>
      </c>
      <c r="X121" s="18">
        <f>IFERROR(VLOOKUP(Vertailu[[#This Row],[Y-tunnus]],'Suoritepäätös 2020'!$B:$N,COLUMN('Suoritepäätös 2020'!G:G),FALSE),0)</f>
        <v>807963</v>
      </c>
      <c r="Y121" s="18">
        <f>IFERROR(VLOOKUP(Vertailu[[#This Row],[Y-tunnus]],'1.2 Ohjaus-laskentataulu'!A:AY,COLUMN('1.2 Ohjaus-laskentataulu'!AS:AS),FALSE),0)</f>
        <v>908230</v>
      </c>
      <c r="Z121" s="18">
        <f>Vertailu[[#This Row],[Perusrahoitus 2021, €]]-Vertailu[[#This Row],[Perusrahoitus 2020, €]]</f>
        <v>100267</v>
      </c>
      <c r="AA121" s="43">
        <f>IFERROR(Vertailu[[#This Row],[Perusrahoituksen muutos, €]]/Vertailu[[#This Row],[Perusrahoitus 2020, €]],0)</f>
        <v>0.12409850451072636</v>
      </c>
      <c r="AB121" s="18">
        <f>IFERROR(VLOOKUP(Vertailu[[#This Row],[Y-tunnus]],'Suoritepäätös 2020'!$B:$N,COLUMN('Suoritepäätös 2020'!M:M),FALSE),0)</f>
        <v>177093</v>
      </c>
      <c r="AC121" s="18">
        <f>IFERROR(VLOOKUP(Vertailu[[#This Row],[Y-tunnus]],'1.2 Ohjaus-laskentataulu'!A:AY,COLUMN('1.2 Ohjaus-laskentataulu'!O:O),FALSE),0)</f>
        <v>247655</v>
      </c>
      <c r="AD121" s="18">
        <f>Vertailu[[#This Row],[Suoritusrahoitus 2021, €]]-Vertailu[[#This Row],[Suoritusrahoitus 2020, €]]</f>
        <v>70562</v>
      </c>
      <c r="AE121" s="43">
        <f>IFERROR(Vertailu[[#This Row],[Suoritusrahoituksen muutos, €]]/Vertailu[[#This Row],[Suoritusrahoitus 2020, €]],0)</f>
        <v>0.39844601424110493</v>
      </c>
      <c r="AF121" s="18">
        <f>IFERROR(VLOOKUP(Vertailu[[#This Row],[Y-tunnus]],'Suoritepäätös 2020'!$Q:$AC,COLUMN('Suoritepäätös 2020'!K:K),FALSE),0)</f>
        <v>100617</v>
      </c>
      <c r="AG121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97607</v>
      </c>
      <c r="AH121" s="18">
        <f>Vertailu[[#This Row],[Vaikuttavuusrahoitus 2021, €]]-Vertailu[[#This Row],[Vaikuttavuusrahoitus 2020, €]]</f>
        <v>-3010</v>
      </c>
      <c r="AI121" s="43">
        <f>IFERROR(Vertailu[[#This Row],[Vaikuttavuusrahoituksen muutos, €]]/Vertailu[[#This Row],[Vaikuttavuusrahoitus 2020, €]],0)</f>
        <v>-2.991542184720276E-2</v>
      </c>
    </row>
    <row r="122" spans="1:35" ht="12.75" customHeight="1" x14ac:dyDescent="0.25">
      <c r="A122" s="22" t="s">
        <v>261</v>
      </c>
      <c r="B122" s="236" t="s">
        <v>118</v>
      </c>
      <c r="C122" s="142" t="s">
        <v>230</v>
      </c>
      <c r="D122" s="170" t="s">
        <v>392</v>
      </c>
      <c r="E122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0.65615086939296974</v>
      </c>
      <c r="F122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0.66556107237418483</v>
      </c>
      <c r="G122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0.22722911240769766</v>
      </c>
      <c r="H122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0.10720981521811752</v>
      </c>
      <c r="I122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7.2374184801957578E-2</v>
      </c>
      <c r="J122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7.2907115964127049E-3</v>
      </c>
      <c r="K122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2.7544918819747247E-2</v>
      </c>
      <c r="L122" s="18">
        <f>IFERROR(VLOOKUP(Vertailu[[#This Row],[Y-tunnus]],'Suoritepäätös 2020'!$Q:$AC,COLUMN('Suoritepäätös 2020'!L:L),FALSE)-VLOOKUP(Vertailu[[#This Row],[Y-tunnus]],'Suoritepäätös 2020'!$B:$N,COLUMN('Suoritepäätös 2020'!F:F),FALSE),0)</f>
        <v>3107985</v>
      </c>
      <c r="M122" s="18">
        <f>IFERROR(VLOOKUP(Vertailu[[#This Row],[Y-tunnus]],'1.2 Ohjaus-laskentataulu'!A:AY,COLUMN('1.2 Ohjaus-laskentataulu'!Z:Z),FALSE),0)</f>
        <v>3158029</v>
      </c>
      <c r="N122" s="18">
        <f>IFERROR(Vertailu[[#This Row],[Rahoitus pl. hark. kor. 2021 ilman alv, €]]-Vertailu[[#This Row],[Rahoitus pl. hark. kor. 2020 ilman alv, €]],0)</f>
        <v>50044</v>
      </c>
      <c r="O122" s="43">
        <f>IFERROR(Vertailu[[#This Row],[Muutos, € 1]]/Vertailu[[#This Row],[Rahoitus pl. hark. kor. 2020 ilman alv, €]],0)</f>
        <v>1.6101750812825673E-2</v>
      </c>
      <c r="P122" s="135">
        <f>IFERROR(VLOOKUP(Vertailu[[#This Row],[Y-tunnus]],'Suoritepäätös 2020'!$Q:$AC,COLUMN('Suoritepäätös 2020'!L:L),FALSE),0)</f>
        <v>3107985</v>
      </c>
      <c r="Q122" s="138">
        <f>IFERROR(VLOOKUP(Vertailu[[#This Row],[Y-tunnus]],'1.2 Ohjaus-laskentataulu'!A:AY,COLUMN('1.2 Ohjaus-laskentataulu'!AV:AV),FALSE),0)</f>
        <v>3188029</v>
      </c>
      <c r="R122" s="18">
        <f>IFERROR(Vertailu[[#This Row],[Rahoitus ml. hark. kor. 
2021 ilman alv, €]]-Vertailu[[#This Row],[Rahoitus ml. hark. kor. 
2020 ilman alv, €]],0)</f>
        <v>80044</v>
      </c>
      <c r="S122" s="16">
        <f>IFERROR(Vertailu[[#This Row],[Muutos, € 2]]/Vertailu[[#This Row],[Rahoitus ml. hark. kor. 
2020 ilman alv, €]],0)</f>
        <v>2.5754307051031457E-2</v>
      </c>
      <c r="T122" s="138">
        <f>IFERROR(VLOOKUP(Vertailu[[#This Row],[Y-tunnus]],'Suoritepäätös 2020'!$Q:$AC,COLUMN('Suoritepäätös 2020'!L:L),FALSE)+VLOOKUP(Vertailu[[#This Row],[Y-tunnus]],'Suoritepäätös 2020'!$Q:$AC,COLUMN('Suoritepäätös 2020'!M:M),FALSE),0)</f>
        <v>3415776</v>
      </c>
      <c r="U122" s="135">
        <f>IFERROR(VLOOKUP(Vertailu[[#This Row],[Y-tunnus]],'1.2 Ohjaus-laskentataulu'!A:AY,COLUMN('1.2 Ohjaus-laskentataulu'!AX:AX),FALSE),0)</f>
        <v>3601139</v>
      </c>
      <c r="V122" s="141">
        <f>IFERROR(Vertailu[[#This Row],[Rahoitus ml. hark. kor. + alv 2021, €]]-Vertailu[[#This Row],[Rahoitus ml. hark. kor. + alv 2020, €]],0)</f>
        <v>185363</v>
      </c>
      <c r="W122" s="43">
        <f>IFERROR(Vertailu[[#This Row],[Muutos, € 3]]/Vertailu[[#This Row],[Rahoitus ml. hark. kor. + alv 2020, €]],0)</f>
        <v>5.4266731776322567E-2</v>
      </c>
      <c r="X122" s="18">
        <f>IFERROR(VLOOKUP(Vertailu[[#This Row],[Y-tunnus]],'Suoritepäätös 2020'!$B:$N,COLUMN('Suoritepäätös 2020'!G:G),FALSE),0)</f>
        <v>2021972</v>
      </c>
      <c r="Y122" s="18">
        <f>IFERROR(VLOOKUP(Vertailu[[#This Row],[Y-tunnus]],'1.2 Ohjaus-laskentataulu'!A:AY,COLUMN('1.2 Ohjaus-laskentataulu'!AS:AS),FALSE),0)</f>
        <v>2121828</v>
      </c>
      <c r="Z122" s="18">
        <f>Vertailu[[#This Row],[Perusrahoitus 2021, €]]-Vertailu[[#This Row],[Perusrahoitus 2020, €]]</f>
        <v>99856</v>
      </c>
      <c r="AA122" s="43">
        <f>IFERROR(Vertailu[[#This Row],[Perusrahoituksen muutos, €]]/Vertailu[[#This Row],[Perusrahoitus 2020, €]],0)</f>
        <v>4.9385451430583607E-2</v>
      </c>
      <c r="AB122" s="18">
        <f>IFERROR(VLOOKUP(Vertailu[[#This Row],[Y-tunnus]],'Suoritepäätös 2020'!$B:$N,COLUMN('Suoritepäätös 2020'!M:M),FALSE),0)</f>
        <v>771083</v>
      </c>
      <c r="AC122" s="18">
        <f>IFERROR(VLOOKUP(Vertailu[[#This Row],[Y-tunnus]],'1.2 Ohjaus-laskentataulu'!A:AY,COLUMN('1.2 Ohjaus-laskentataulu'!O:O),FALSE),0)</f>
        <v>724413</v>
      </c>
      <c r="AD122" s="18">
        <f>Vertailu[[#This Row],[Suoritusrahoitus 2021, €]]-Vertailu[[#This Row],[Suoritusrahoitus 2020, €]]</f>
        <v>-46670</v>
      </c>
      <c r="AE122" s="43">
        <f>IFERROR(Vertailu[[#This Row],[Suoritusrahoituksen muutos, €]]/Vertailu[[#This Row],[Suoritusrahoitus 2020, €]],0)</f>
        <v>-6.0525261223499938E-2</v>
      </c>
      <c r="AF122" s="18">
        <f>IFERROR(VLOOKUP(Vertailu[[#This Row],[Y-tunnus]],'Suoritepäätös 2020'!$Q:$AC,COLUMN('Suoritepäätös 2020'!K:K),FALSE),0)</f>
        <v>314930</v>
      </c>
      <c r="AG122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341788</v>
      </c>
      <c r="AH122" s="18">
        <f>Vertailu[[#This Row],[Vaikuttavuusrahoitus 2021, €]]-Vertailu[[#This Row],[Vaikuttavuusrahoitus 2020, €]]</f>
        <v>26858</v>
      </c>
      <c r="AI122" s="43">
        <f>IFERROR(Vertailu[[#This Row],[Vaikuttavuusrahoituksen muutos, €]]/Vertailu[[#This Row],[Vaikuttavuusrahoitus 2020, €]],0)</f>
        <v>8.5282443717651535E-2</v>
      </c>
    </row>
    <row r="123" spans="1:35" ht="12.75" customHeight="1" x14ac:dyDescent="0.25">
      <c r="A123" s="22" t="s">
        <v>260</v>
      </c>
      <c r="B123" s="236" t="s">
        <v>119</v>
      </c>
      <c r="C123" s="142" t="s">
        <v>216</v>
      </c>
      <c r="D123" s="170" t="s">
        <v>392</v>
      </c>
      <c r="E123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0.64015454235693992</v>
      </c>
      <c r="F123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0.64015454235693992</v>
      </c>
      <c r="G123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0.21079600014643227</v>
      </c>
      <c r="H123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0.14904945749662785</v>
      </c>
      <c r="I123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7.7968421319411008E-2</v>
      </c>
      <c r="J123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1.7212549244888246E-2</v>
      </c>
      <c r="K123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5.3868486932328583E-2</v>
      </c>
      <c r="L123" s="18">
        <f>IFERROR(VLOOKUP(Vertailu[[#This Row],[Y-tunnus]],'Suoritepäätös 2020'!$Q:$AC,COLUMN('Suoritepäätös 2020'!L:L),FALSE)-VLOOKUP(Vertailu[[#This Row],[Y-tunnus]],'Suoritepäätös 2020'!$B:$N,COLUMN('Suoritepäätös 2020'!F:F),FALSE),0)</f>
        <v>1706357</v>
      </c>
      <c r="M123" s="18">
        <f>IFERROR(VLOOKUP(Vertailu[[#This Row],[Y-tunnus]],'1.2 Ohjaus-laskentataulu'!A:AY,COLUMN('1.2 Ohjaus-laskentataulu'!Z:Z),FALSE),0)</f>
        <v>1775565</v>
      </c>
      <c r="N123" s="18">
        <f>IFERROR(Vertailu[[#This Row],[Rahoitus pl. hark. kor. 2021 ilman alv, €]]-Vertailu[[#This Row],[Rahoitus pl. hark. kor. 2020 ilman alv, €]],0)</f>
        <v>69208</v>
      </c>
      <c r="O123" s="43">
        <f>IFERROR(Vertailu[[#This Row],[Muutos, € 1]]/Vertailu[[#This Row],[Rahoitus pl. hark. kor. 2020 ilman alv, €]],0)</f>
        <v>4.0558921726227277E-2</v>
      </c>
      <c r="P123" s="135">
        <f>IFERROR(VLOOKUP(Vertailu[[#This Row],[Y-tunnus]],'Suoritepäätös 2020'!$Q:$AC,COLUMN('Suoritepäätös 2020'!L:L),FALSE),0)</f>
        <v>1726357</v>
      </c>
      <c r="Q123" s="138">
        <f>IFERROR(VLOOKUP(Vertailu[[#This Row],[Y-tunnus]],'1.2 Ohjaus-laskentataulu'!A:AY,COLUMN('1.2 Ohjaus-laskentataulu'!AV:AV),FALSE),0)</f>
        <v>1775565</v>
      </c>
      <c r="R123" s="18">
        <f>IFERROR(Vertailu[[#This Row],[Rahoitus ml. hark. kor. 
2021 ilman alv, €]]-Vertailu[[#This Row],[Rahoitus ml. hark. kor. 
2020 ilman alv, €]],0)</f>
        <v>49208</v>
      </c>
      <c r="S123" s="16">
        <f>IFERROR(Vertailu[[#This Row],[Muutos, € 2]]/Vertailu[[#This Row],[Rahoitus ml. hark. kor. 
2020 ilman alv, €]],0)</f>
        <v>2.850395370134914E-2</v>
      </c>
      <c r="T123" s="138">
        <f>IFERROR(VLOOKUP(Vertailu[[#This Row],[Y-tunnus]],'Suoritepäätös 2020'!$Q:$AC,COLUMN('Suoritepäätös 2020'!L:L),FALSE)+VLOOKUP(Vertailu[[#This Row],[Y-tunnus]],'Suoritepäätös 2020'!$Q:$AC,COLUMN('Suoritepäätös 2020'!M:M),FALSE),0)</f>
        <v>1799763</v>
      </c>
      <c r="U123" s="135">
        <f>IFERROR(VLOOKUP(Vertailu[[#This Row],[Y-tunnus]],'1.2 Ohjaus-laskentataulu'!A:AY,COLUMN('1.2 Ohjaus-laskentataulu'!AX:AX),FALSE),0)</f>
        <v>1854641</v>
      </c>
      <c r="V123" s="141">
        <f>IFERROR(Vertailu[[#This Row],[Rahoitus ml. hark. kor. + alv 2021, €]]-Vertailu[[#This Row],[Rahoitus ml. hark. kor. + alv 2020, €]],0)</f>
        <v>54878</v>
      </c>
      <c r="W123" s="43">
        <f>IFERROR(Vertailu[[#This Row],[Muutos, € 3]]/Vertailu[[#This Row],[Rahoitus ml. hark. kor. + alv 2020, €]],0)</f>
        <v>3.0491792530460957E-2</v>
      </c>
      <c r="X123" s="18">
        <f>IFERROR(VLOOKUP(Vertailu[[#This Row],[Y-tunnus]],'Suoritepäätös 2020'!$B:$N,COLUMN('Suoritepäätös 2020'!G:G),FALSE),0)</f>
        <v>1048692</v>
      </c>
      <c r="Y123" s="18">
        <f>IFERROR(VLOOKUP(Vertailu[[#This Row],[Y-tunnus]],'1.2 Ohjaus-laskentataulu'!A:AY,COLUMN('1.2 Ohjaus-laskentataulu'!AS:AS),FALSE),0)</f>
        <v>1136636</v>
      </c>
      <c r="Z123" s="18">
        <f>Vertailu[[#This Row],[Perusrahoitus 2021, €]]-Vertailu[[#This Row],[Perusrahoitus 2020, €]]</f>
        <v>87944</v>
      </c>
      <c r="AA123" s="43">
        <f>IFERROR(Vertailu[[#This Row],[Perusrahoituksen muutos, €]]/Vertailu[[#This Row],[Perusrahoitus 2020, €]],0)</f>
        <v>8.3860656894493332E-2</v>
      </c>
      <c r="AB123" s="18">
        <f>IFERROR(VLOOKUP(Vertailu[[#This Row],[Y-tunnus]],'Suoritepäätös 2020'!$B:$N,COLUMN('Suoritepäätös 2020'!M:M),FALSE),0)</f>
        <v>389008</v>
      </c>
      <c r="AC123" s="18">
        <f>IFERROR(VLOOKUP(Vertailu[[#This Row],[Y-tunnus]],'1.2 Ohjaus-laskentataulu'!A:AY,COLUMN('1.2 Ohjaus-laskentataulu'!O:O),FALSE),0)</f>
        <v>374282</v>
      </c>
      <c r="AD123" s="18">
        <f>Vertailu[[#This Row],[Suoritusrahoitus 2021, €]]-Vertailu[[#This Row],[Suoritusrahoitus 2020, €]]</f>
        <v>-14726</v>
      </c>
      <c r="AE123" s="43">
        <f>IFERROR(Vertailu[[#This Row],[Suoritusrahoituksen muutos, €]]/Vertailu[[#This Row],[Suoritusrahoitus 2020, €]],0)</f>
        <v>-3.785526261670711E-2</v>
      </c>
      <c r="AF123" s="18">
        <f>IFERROR(VLOOKUP(Vertailu[[#This Row],[Y-tunnus]],'Suoritepäätös 2020'!$Q:$AC,COLUMN('Suoritepäätös 2020'!K:K),FALSE),0)</f>
        <v>288657</v>
      </c>
      <c r="AG123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264647</v>
      </c>
      <c r="AH123" s="18">
        <f>Vertailu[[#This Row],[Vaikuttavuusrahoitus 2021, €]]-Vertailu[[#This Row],[Vaikuttavuusrahoitus 2020, €]]</f>
        <v>-24010</v>
      </c>
      <c r="AI123" s="43">
        <f>IFERROR(Vertailu[[#This Row],[Vaikuttavuusrahoituksen muutos, €]]/Vertailu[[#This Row],[Vaikuttavuusrahoitus 2020, €]],0)</f>
        <v>-8.3178305047166709E-2</v>
      </c>
    </row>
    <row r="124" spans="1:35" ht="12.75" customHeight="1" x14ac:dyDescent="0.25">
      <c r="A124" s="22" t="s">
        <v>259</v>
      </c>
      <c r="B124" s="236" t="s">
        <v>524</v>
      </c>
      <c r="C124" s="142" t="s">
        <v>249</v>
      </c>
      <c r="D124" s="170" t="s">
        <v>392</v>
      </c>
      <c r="E124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0.59003496535973521</v>
      </c>
      <c r="F124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0.59653686521487292</v>
      </c>
      <c r="G124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0.19771813038055433</v>
      </c>
      <c r="H124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0.20574500440457272</v>
      </c>
      <c r="I124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0.13926790836853958</v>
      </c>
      <c r="J124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1.6193446010638594E-2</v>
      </c>
      <c r="K124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5.0283650025394561E-2</v>
      </c>
      <c r="L124" s="18">
        <f>IFERROR(VLOOKUP(Vertailu[[#This Row],[Y-tunnus]],'Suoritepäätös 2020'!$Q:$AC,COLUMN('Suoritepäätös 2020'!L:L),FALSE)-VLOOKUP(Vertailu[[#This Row],[Y-tunnus]],'Suoritepäätös 2020'!$B:$N,COLUMN('Suoritepäätös 2020'!F:F),FALSE),0)</f>
        <v>4952746</v>
      </c>
      <c r="M124" s="18">
        <f>IFERROR(VLOOKUP(Vertailu[[#This Row],[Y-tunnus]],'1.2 Ohjaus-laskentataulu'!A:AY,COLUMN('1.2 Ohjaus-laskentataulu'!Z:Z),FALSE),0)</f>
        <v>5348042</v>
      </c>
      <c r="N124" s="18">
        <f>IFERROR(Vertailu[[#This Row],[Rahoitus pl. hark. kor. 2021 ilman alv, €]]-Vertailu[[#This Row],[Rahoitus pl. hark. kor. 2020 ilman alv, €]],0)</f>
        <v>395296</v>
      </c>
      <c r="O124" s="43">
        <f>IFERROR(Vertailu[[#This Row],[Muutos, € 1]]/Vertailu[[#This Row],[Rahoitus pl. hark. kor. 2020 ilman alv, €]],0)</f>
        <v>7.9813501439403509E-2</v>
      </c>
      <c r="P124" s="135">
        <f>IFERROR(VLOOKUP(Vertailu[[#This Row],[Y-tunnus]],'Suoritepäätös 2020'!$Q:$AC,COLUMN('Suoritepäätös 2020'!L:L),FALSE),0)</f>
        <v>4952746</v>
      </c>
      <c r="Q124" s="138">
        <f>IFERROR(VLOOKUP(Vertailu[[#This Row],[Y-tunnus]],'1.2 Ohjaus-laskentataulu'!A:AY,COLUMN('1.2 Ohjaus-laskentataulu'!AV:AV),FALSE),0)</f>
        <v>5383042</v>
      </c>
      <c r="R124" s="18">
        <f>IFERROR(Vertailu[[#This Row],[Rahoitus ml. hark. kor. 
2021 ilman alv, €]]-Vertailu[[#This Row],[Rahoitus ml. hark. kor. 
2020 ilman alv, €]],0)</f>
        <v>430296</v>
      </c>
      <c r="S124" s="16">
        <f>IFERROR(Vertailu[[#This Row],[Muutos, € 2]]/Vertailu[[#This Row],[Rahoitus ml. hark. kor. 
2020 ilman alv, €]],0)</f>
        <v>8.6880288227985047E-2</v>
      </c>
      <c r="T124" s="138">
        <f>IFERROR(VLOOKUP(Vertailu[[#This Row],[Y-tunnus]],'Suoritepäätös 2020'!$Q:$AC,COLUMN('Suoritepäätös 2020'!L:L),FALSE)+VLOOKUP(Vertailu[[#This Row],[Y-tunnus]],'Suoritepäätös 2020'!$Q:$AC,COLUMN('Suoritepäätös 2020'!M:M),FALSE),0)</f>
        <v>5169248</v>
      </c>
      <c r="U124" s="135">
        <f>IFERROR(VLOOKUP(Vertailu[[#This Row],[Y-tunnus]],'1.2 Ohjaus-laskentataulu'!A:AY,COLUMN('1.2 Ohjaus-laskentataulu'!AX:AX),FALSE),0)</f>
        <v>5689426</v>
      </c>
      <c r="V124" s="141">
        <f>IFERROR(Vertailu[[#This Row],[Rahoitus ml. hark. kor. + alv 2021, €]]-Vertailu[[#This Row],[Rahoitus ml. hark. kor. + alv 2020, €]],0)</f>
        <v>520178</v>
      </c>
      <c r="W124" s="43">
        <f>IFERROR(Vertailu[[#This Row],[Muutos, € 3]]/Vertailu[[#This Row],[Rahoitus ml. hark. kor. + alv 2020, €]],0)</f>
        <v>0.10062933718792366</v>
      </c>
      <c r="X124" s="18">
        <f>IFERROR(VLOOKUP(Vertailu[[#This Row],[Y-tunnus]],'Suoritepäätös 2020'!$B:$N,COLUMN('Suoritepäätös 2020'!G:G),FALSE),0)</f>
        <v>2877740</v>
      </c>
      <c r="Y124" s="18">
        <f>IFERROR(VLOOKUP(Vertailu[[#This Row],[Y-tunnus]],'1.2 Ohjaus-laskentataulu'!A:AY,COLUMN('1.2 Ohjaus-laskentataulu'!AS:AS),FALSE),0)</f>
        <v>3211183</v>
      </c>
      <c r="Z124" s="18">
        <f>Vertailu[[#This Row],[Perusrahoitus 2021, €]]-Vertailu[[#This Row],[Perusrahoitus 2020, €]]</f>
        <v>333443</v>
      </c>
      <c r="AA124" s="43">
        <f>IFERROR(Vertailu[[#This Row],[Perusrahoituksen muutos, €]]/Vertailu[[#This Row],[Perusrahoitus 2020, €]],0)</f>
        <v>0.11586974500823563</v>
      </c>
      <c r="AB124" s="18">
        <f>IFERROR(VLOOKUP(Vertailu[[#This Row],[Y-tunnus]],'Suoritepäätös 2020'!$B:$N,COLUMN('Suoritepäätös 2020'!M:M),FALSE),0)</f>
        <v>1097194</v>
      </c>
      <c r="AC124" s="18">
        <f>IFERROR(VLOOKUP(Vertailu[[#This Row],[Y-tunnus]],'1.2 Ohjaus-laskentataulu'!A:AY,COLUMN('1.2 Ohjaus-laskentataulu'!O:O),FALSE),0)</f>
        <v>1064325</v>
      </c>
      <c r="AD124" s="18">
        <f>Vertailu[[#This Row],[Suoritusrahoitus 2021, €]]-Vertailu[[#This Row],[Suoritusrahoitus 2020, €]]</f>
        <v>-32869</v>
      </c>
      <c r="AE124" s="43">
        <f>IFERROR(Vertailu[[#This Row],[Suoritusrahoituksen muutos, €]]/Vertailu[[#This Row],[Suoritusrahoitus 2020, €]],0)</f>
        <v>-2.9957327509993675E-2</v>
      </c>
      <c r="AF124" s="18">
        <f>IFERROR(VLOOKUP(Vertailu[[#This Row],[Y-tunnus]],'Suoritepäätös 2020'!$Q:$AC,COLUMN('Suoritepäätös 2020'!K:K),FALSE),0)</f>
        <v>977812</v>
      </c>
      <c r="AG124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1107534</v>
      </c>
      <c r="AH124" s="18">
        <f>Vertailu[[#This Row],[Vaikuttavuusrahoitus 2021, €]]-Vertailu[[#This Row],[Vaikuttavuusrahoitus 2020, €]]</f>
        <v>129722</v>
      </c>
      <c r="AI124" s="43">
        <f>IFERROR(Vertailu[[#This Row],[Vaikuttavuusrahoituksen muutos, €]]/Vertailu[[#This Row],[Vaikuttavuusrahoitus 2020, €]],0)</f>
        <v>0.13266558397728806</v>
      </c>
    </row>
    <row r="125" spans="1:35" ht="12.75" customHeight="1" x14ac:dyDescent="0.25">
      <c r="A125" s="22" t="s">
        <v>258</v>
      </c>
      <c r="B125" s="236" t="s">
        <v>121</v>
      </c>
      <c r="C125" s="142" t="s">
        <v>249</v>
      </c>
      <c r="D125" s="170" t="s">
        <v>391</v>
      </c>
      <c r="E125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0.68454426114609634</v>
      </c>
      <c r="F125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0.68984326260226192</v>
      </c>
      <c r="G125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0.21598394331905429</v>
      </c>
      <c r="H125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9.4172794078683814E-2</v>
      </c>
      <c r="I125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7.8014548938398043E-2</v>
      </c>
      <c r="J125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3.2519971936488287E-3</v>
      </c>
      <c r="K125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1.2906247946636936E-2</v>
      </c>
      <c r="L125" s="18">
        <f>IFERROR(VLOOKUP(Vertailu[[#This Row],[Y-tunnus]],'Suoritepäätös 2020'!$Q:$AC,COLUMN('Suoritepäätös 2020'!L:L),FALSE)-VLOOKUP(Vertailu[[#This Row],[Y-tunnus]],'Suoritepäätös 2020'!$B:$N,COLUMN('Suoritepäätös 2020'!F:F),FALSE),0)</f>
        <v>5785828</v>
      </c>
      <c r="M125" s="18">
        <f>IFERROR(VLOOKUP(Vertailu[[#This Row],[Y-tunnus]],'1.2 Ohjaus-laskentataulu'!A:AY,COLUMN('1.2 Ohjaus-laskentataulu'!Z:Z),FALSE),0)</f>
        <v>5631444</v>
      </c>
      <c r="N125" s="18">
        <f>IFERROR(Vertailu[[#This Row],[Rahoitus pl. hark. kor. 2021 ilman alv, €]]-Vertailu[[#This Row],[Rahoitus pl. hark. kor. 2020 ilman alv, €]],0)</f>
        <v>-154384</v>
      </c>
      <c r="O125" s="43">
        <f>IFERROR(Vertailu[[#This Row],[Muutos, € 1]]/Vertailu[[#This Row],[Rahoitus pl. hark. kor. 2020 ilman alv, €]],0)</f>
        <v>-2.6683129882187996E-2</v>
      </c>
      <c r="P125" s="135">
        <f>IFERROR(VLOOKUP(Vertailu[[#This Row],[Y-tunnus]],'Suoritepäätös 2020'!$Q:$AC,COLUMN('Suoritepäätös 2020'!L:L),FALSE),0)</f>
        <v>5785828</v>
      </c>
      <c r="Q125" s="138">
        <f>IFERROR(VLOOKUP(Vertailu[[#This Row],[Y-tunnus]],'1.2 Ohjaus-laskentataulu'!A:AY,COLUMN('1.2 Ohjaus-laskentataulu'!AV:AV),FALSE),0)</f>
        <v>5661444</v>
      </c>
      <c r="R125" s="18">
        <f>IFERROR(Vertailu[[#This Row],[Rahoitus ml. hark. kor. 
2021 ilman alv, €]]-Vertailu[[#This Row],[Rahoitus ml. hark. kor. 
2020 ilman alv, €]],0)</f>
        <v>-124384</v>
      </c>
      <c r="S125" s="16">
        <f>IFERROR(Vertailu[[#This Row],[Muutos, € 2]]/Vertailu[[#This Row],[Rahoitus ml. hark. kor. 
2020 ilman alv, €]],0)</f>
        <v>-2.1498046606293862E-2</v>
      </c>
      <c r="T125" s="138">
        <f>IFERROR(VLOOKUP(Vertailu[[#This Row],[Y-tunnus]],'Suoritepäätös 2020'!$Q:$AC,COLUMN('Suoritepäätös 2020'!L:L),FALSE)+VLOOKUP(Vertailu[[#This Row],[Y-tunnus]],'Suoritepäätös 2020'!$Q:$AC,COLUMN('Suoritepäätös 2020'!M:M),FALSE),0)</f>
        <v>5785828</v>
      </c>
      <c r="U125" s="135">
        <f>IFERROR(VLOOKUP(Vertailu[[#This Row],[Y-tunnus]],'1.2 Ohjaus-laskentataulu'!A:AY,COLUMN('1.2 Ohjaus-laskentataulu'!AX:AX),FALSE),0)</f>
        <v>5661444</v>
      </c>
      <c r="V125" s="141">
        <f>IFERROR(Vertailu[[#This Row],[Rahoitus ml. hark. kor. + alv 2021, €]]-Vertailu[[#This Row],[Rahoitus ml. hark. kor. + alv 2020, €]],0)</f>
        <v>-124384</v>
      </c>
      <c r="W125" s="43">
        <f>IFERROR(Vertailu[[#This Row],[Muutos, € 3]]/Vertailu[[#This Row],[Rahoitus ml. hark. kor. + alv 2020, €]],0)</f>
        <v>-2.1498046606293862E-2</v>
      </c>
      <c r="X125" s="18">
        <f>IFERROR(VLOOKUP(Vertailu[[#This Row],[Y-tunnus]],'Suoritepäätös 2020'!$B:$N,COLUMN('Suoritepäätös 2020'!G:G),FALSE),0)</f>
        <v>3903480</v>
      </c>
      <c r="Y125" s="18">
        <f>IFERROR(VLOOKUP(Vertailu[[#This Row],[Y-tunnus]],'1.2 Ohjaus-laskentataulu'!A:AY,COLUMN('1.2 Ohjaus-laskentataulu'!AS:AS),FALSE),0)</f>
        <v>3905509</v>
      </c>
      <c r="Z125" s="18">
        <f>Vertailu[[#This Row],[Perusrahoitus 2021, €]]-Vertailu[[#This Row],[Perusrahoitus 2020, €]]</f>
        <v>2029</v>
      </c>
      <c r="AA125" s="43">
        <f>IFERROR(Vertailu[[#This Row],[Perusrahoituksen muutos, €]]/Vertailu[[#This Row],[Perusrahoitus 2020, €]],0)</f>
        <v>5.1979259532519706E-4</v>
      </c>
      <c r="AB125" s="18">
        <f>IFERROR(VLOOKUP(Vertailu[[#This Row],[Y-tunnus]],'Suoritepäätös 2020'!$B:$N,COLUMN('Suoritepäätös 2020'!M:M),FALSE),0)</f>
        <v>1184053</v>
      </c>
      <c r="AC125" s="18">
        <f>IFERROR(VLOOKUP(Vertailu[[#This Row],[Y-tunnus]],'1.2 Ohjaus-laskentataulu'!A:AY,COLUMN('1.2 Ohjaus-laskentataulu'!O:O),FALSE),0)</f>
        <v>1222781</v>
      </c>
      <c r="AD125" s="18">
        <f>Vertailu[[#This Row],[Suoritusrahoitus 2021, €]]-Vertailu[[#This Row],[Suoritusrahoitus 2020, €]]</f>
        <v>38728</v>
      </c>
      <c r="AE125" s="43">
        <f>IFERROR(Vertailu[[#This Row],[Suoritusrahoituksen muutos, €]]/Vertailu[[#This Row],[Suoritusrahoitus 2020, €]],0)</f>
        <v>3.2707995334668297E-2</v>
      </c>
      <c r="AF125" s="18">
        <f>IFERROR(VLOOKUP(Vertailu[[#This Row],[Y-tunnus]],'Suoritepäätös 2020'!$Q:$AC,COLUMN('Suoritepäätös 2020'!K:K),FALSE),0)</f>
        <v>698295</v>
      </c>
      <c r="AG125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533154</v>
      </c>
      <c r="AH125" s="18">
        <f>Vertailu[[#This Row],[Vaikuttavuusrahoitus 2021, €]]-Vertailu[[#This Row],[Vaikuttavuusrahoitus 2020, €]]</f>
        <v>-165141</v>
      </c>
      <c r="AI125" s="43">
        <f>IFERROR(Vertailu[[#This Row],[Vaikuttavuusrahoituksen muutos, €]]/Vertailu[[#This Row],[Vaikuttavuusrahoitus 2020, €]],0)</f>
        <v>-0.23649174059673919</v>
      </c>
    </row>
    <row r="126" spans="1:35" ht="12.75" customHeight="1" x14ac:dyDescent="0.25">
      <c r="A126" s="22" t="s">
        <v>257</v>
      </c>
      <c r="B126" s="236" t="s">
        <v>122</v>
      </c>
      <c r="C126" s="142" t="s">
        <v>216</v>
      </c>
      <c r="D126" s="170" t="s">
        <v>392</v>
      </c>
      <c r="E126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0.7203577109559457</v>
      </c>
      <c r="F126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0.72348506526736323</v>
      </c>
      <c r="G126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0.17305037865484776</v>
      </c>
      <c r="H126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0.10346455607778898</v>
      </c>
      <c r="I126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8.1064672331973245E-2</v>
      </c>
      <c r="J126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5.8495077492191254E-3</v>
      </c>
      <c r="K126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1.6550375996596603E-2</v>
      </c>
      <c r="L126" s="18">
        <f>IFERROR(VLOOKUP(Vertailu[[#This Row],[Y-tunnus]],'Suoritepäätös 2020'!$Q:$AC,COLUMN('Suoritepäätös 2020'!L:L),FALSE)-VLOOKUP(Vertailu[[#This Row],[Y-tunnus]],'Suoritepäätös 2020'!$B:$N,COLUMN('Suoritepäätös 2020'!F:F),FALSE),0)</f>
        <v>9877234</v>
      </c>
      <c r="M126" s="18">
        <f>IFERROR(VLOOKUP(Vertailu[[#This Row],[Y-tunnus]],'1.2 Ohjaus-laskentataulu'!A:AY,COLUMN('1.2 Ohjaus-laskentataulu'!Z:Z),FALSE),0)</f>
        <v>9562773</v>
      </c>
      <c r="N126" s="18">
        <f>IFERROR(Vertailu[[#This Row],[Rahoitus pl. hark. kor. 2021 ilman alv, €]]-Vertailu[[#This Row],[Rahoitus pl. hark. kor. 2020 ilman alv, €]],0)</f>
        <v>-314461</v>
      </c>
      <c r="O126" s="43">
        <f>IFERROR(Vertailu[[#This Row],[Muutos, € 1]]/Vertailu[[#This Row],[Rahoitus pl. hark. kor. 2020 ilman alv, €]],0)</f>
        <v>-3.1836949494160008E-2</v>
      </c>
      <c r="P126" s="135">
        <f>IFERROR(VLOOKUP(Vertailu[[#This Row],[Y-tunnus]],'Suoritepäätös 2020'!$Q:$AC,COLUMN('Suoritepäätös 2020'!L:L),FALSE),0)</f>
        <v>9892234</v>
      </c>
      <c r="Q126" s="138">
        <f>IFERROR(VLOOKUP(Vertailu[[#This Row],[Y-tunnus]],'1.2 Ohjaus-laskentataulu'!A:AY,COLUMN('1.2 Ohjaus-laskentataulu'!AV:AV),FALSE),0)</f>
        <v>9592773</v>
      </c>
      <c r="R126" s="18">
        <f>IFERROR(Vertailu[[#This Row],[Rahoitus ml. hark. kor. 
2021 ilman alv, €]]-Vertailu[[#This Row],[Rahoitus ml. hark. kor. 
2020 ilman alv, €]],0)</f>
        <v>-299461</v>
      </c>
      <c r="S126" s="16">
        <f>IFERROR(Vertailu[[#This Row],[Muutos, € 2]]/Vertailu[[#This Row],[Rahoitus ml. hark. kor. 
2020 ilman alv, €]],0)</f>
        <v>-3.0272332821888362E-2</v>
      </c>
      <c r="T126" s="138">
        <f>IFERROR(VLOOKUP(Vertailu[[#This Row],[Y-tunnus]],'Suoritepäätös 2020'!$Q:$AC,COLUMN('Suoritepäätös 2020'!L:L),FALSE)+VLOOKUP(Vertailu[[#This Row],[Y-tunnus]],'Suoritepäätös 2020'!$Q:$AC,COLUMN('Suoritepäätös 2020'!M:M),FALSE),0)</f>
        <v>10506852</v>
      </c>
      <c r="U126" s="135">
        <f>IFERROR(VLOOKUP(Vertailu[[#This Row],[Y-tunnus]],'1.2 Ohjaus-laskentataulu'!A:AY,COLUMN('1.2 Ohjaus-laskentataulu'!AX:AX),FALSE),0)</f>
        <v>9893016</v>
      </c>
      <c r="V126" s="141">
        <f>IFERROR(Vertailu[[#This Row],[Rahoitus ml. hark. kor. + alv 2021, €]]-Vertailu[[#This Row],[Rahoitus ml. hark. kor. + alv 2020, €]],0)</f>
        <v>-613836</v>
      </c>
      <c r="W126" s="43">
        <f>IFERROR(Vertailu[[#This Row],[Muutos, € 3]]/Vertailu[[#This Row],[Rahoitus ml. hark. kor. + alv 2020, €]],0)</f>
        <v>-5.8422446609127071E-2</v>
      </c>
      <c r="X126" s="18">
        <f>IFERROR(VLOOKUP(Vertailu[[#This Row],[Y-tunnus]],'Suoritepäätös 2020'!$B:$N,COLUMN('Suoritepäätös 2020'!G:G),FALSE),0)</f>
        <v>6698839</v>
      </c>
      <c r="Y126" s="18">
        <f>IFERROR(VLOOKUP(Vertailu[[#This Row],[Y-tunnus]],'1.2 Ohjaus-laskentataulu'!A:AY,COLUMN('1.2 Ohjaus-laskentataulu'!AS:AS),FALSE),0)</f>
        <v>6940228</v>
      </c>
      <c r="Z126" s="18">
        <f>Vertailu[[#This Row],[Perusrahoitus 2021, €]]-Vertailu[[#This Row],[Perusrahoitus 2020, €]]</f>
        <v>241389</v>
      </c>
      <c r="AA126" s="43">
        <f>IFERROR(Vertailu[[#This Row],[Perusrahoituksen muutos, €]]/Vertailu[[#This Row],[Perusrahoitus 2020, €]],0)</f>
        <v>3.6034453134341636E-2</v>
      </c>
      <c r="AB126" s="18">
        <f>IFERROR(VLOOKUP(Vertailu[[#This Row],[Y-tunnus]],'Suoritepäätös 2020'!$B:$N,COLUMN('Suoritepäätös 2020'!M:M),FALSE),0)</f>
        <v>2074029</v>
      </c>
      <c r="AC126" s="18">
        <f>IFERROR(VLOOKUP(Vertailu[[#This Row],[Y-tunnus]],'1.2 Ohjaus-laskentataulu'!A:AY,COLUMN('1.2 Ohjaus-laskentataulu'!O:O),FALSE),0)</f>
        <v>1660033</v>
      </c>
      <c r="AD126" s="18">
        <f>Vertailu[[#This Row],[Suoritusrahoitus 2021, €]]-Vertailu[[#This Row],[Suoritusrahoitus 2020, €]]</f>
        <v>-413996</v>
      </c>
      <c r="AE126" s="43">
        <f>IFERROR(Vertailu[[#This Row],[Suoritusrahoituksen muutos, €]]/Vertailu[[#This Row],[Suoritusrahoitus 2020, €]],0)</f>
        <v>-0.19960955222901897</v>
      </c>
      <c r="AF126" s="18">
        <f>IFERROR(VLOOKUP(Vertailu[[#This Row],[Y-tunnus]],'Suoritepäätös 2020'!$Q:$AC,COLUMN('Suoritepäätös 2020'!K:K),FALSE),0)</f>
        <v>1119366</v>
      </c>
      <c r="AG126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992512</v>
      </c>
      <c r="AH126" s="18">
        <f>Vertailu[[#This Row],[Vaikuttavuusrahoitus 2021, €]]-Vertailu[[#This Row],[Vaikuttavuusrahoitus 2020, €]]</f>
        <v>-126854</v>
      </c>
      <c r="AI126" s="43">
        <f>IFERROR(Vertailu[[#This Row],[Vaikuttavuusrahoituksen muutos, €]]/Vertailu[[#This Row],[Vaikuttavuusrahoitus 2020, €]],0)</f>
        <v>-0.11332665097921502</v>
      </c>
    </row>
    <row r="127" spans="1:35" ht="12.75" customHeight="1" x14ac:dyDescent="0.25">
      <c r="A127" s="22" t="s">
        <v>256</v>
      </c>
      <c r="B127" s="236" t="s">
        <v>123</v>
      </c>
      <c r="C127" s="142" t="s">
        <v>222</v>
      </c>
      <c r="D127" s="170" t="s">
        <v>391</v>
      </c>
      <c r="E127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0.68186069407487893</v>
      </c>
      <c r="F127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0.68186069407487893</v>
      </c>
      <c r="G127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0.20677840628242022</v>
      </c>
      <c r="H127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0.11136089964270089</v>
      </c>
      <c r="I127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8.6448991471607867E-2</v>
      </c>
      <c r="J127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6.6385716325324832E-3</v>
      </c>
      <c r="K127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1.8273336538560541E-2</v>
      </c>
      <c r="L127" s="18">
        <f>IFERROR(VLOOKUP(Vertailu[[#This Row],[Y-tunnus]],'Suoritepäätös 2020'!$Q:$AC,COLUMN('Suoritepäätös 2020'!L:L),FALSE)-VLOOKUP(Vertailu[[#This Row],[Y-tunnus]],'Suoritepäätös 2020'!$B:$N,COLUMN('Suoritepäätös 2020'!F:F),FALSE),0)</f>
        <v>15459411</v>
      </c>
      <c r="M127" s="18">
        <f>IFERROR(VLOOKUP(Vertailu[[#This Row],[Y-tunnus]],'1.2 Ohjaus-laskentataulu'!A:AY,COLUMN('1.2 Ohjaus-laskentataulu'!Z:Z),FALSE),0)</f>
        <v>15248009</v>
      </c>
      <c r="N127" s="18">
        <f>IFERROR(Vertailu[[#This Row],[Rahoitus pl. hark. kor. 2021 ilman alv, €]]-Vertailu[[#This Row],[Rahoitus pl. hark. kor. 2020 ilman alv, €]],0)</f>
        <v>-211402</v>
      </c>
      <c r="O127" s="43">
        <f>IFERROR(Vertailu[[#This Row],[Muutos, € 1]]/Vertailu[[#This Row],[Rahoitus pl. hark. kor. 2020 ilman alv, €]],0)</f>
        <v>-1.3674647759866142E-2</v>
      </c>
      <c r="P127" s="135">
        <f>IFERROR(VLOOKUP(Vertailu[[#This Row],[Y-tunnus]],'Suoritepäätös 2020'!$Q:$AC,COLUMN('Suoritepäätös 2020'!L:L),FALSE),0)</f>
        <v>15539411</v>
      </c>
      <c r="Q127" s="138">
        <f>IFERROR(VLOOKUP(Vertailu[[#This Row],[Y-tunnus]],'1.2 Ohjaus-laskentataulu'!A:AY,COLUMN('1.2 Ohjaus-laskentataulu'!AV:AV),FALSE),0)</f>
        <v>15248009</v>
      </c>
      <c r="R127" s="18">
        <f>IFERROR(Vertailu[[#This Row],[Rahoitus ml. hark. kor. 
2021 ilman alv, €]]-Vertailu[[#This Row],[Rahoitus ml. hark. kor. 
2020 ilman alv, €]],0)</f>
        <v>-291402</v>
      </c>
      <c r="S127" s="16">
        <f>IFERROR(Vertailu[[#This Row],[Muutos, € 2]]/Vertailu[[#This Row],[Rahoitus ml. hark. kor. 
2020 ilman alv, €]],0)</f>
        <v>-1.8752448210553153E-2</v>
      </c>
      <c r="T127" s="138">
        <f>IFERROR(VLOOKUP(Vertailu[[#This Row],[Y-tunnus]],'Suoritepäätös 2020'!$Q:$AC,COLUMN('Suoritepäätös 2020'!L:L),FALSE)+VLOOKUP(Vertailu[[#This Row],[Y-tunnus]],'Suoritepäätös 2020'!$Q:$AC,COLUMN('Suoritepäätös 2020'!M:M),FALSE),0)</f>
        <v>15539411</v>
      </c>
      <c r="U127" s="135">
        <f>IFERROR(VLOOKUP(Vertailu[[#This Row],[Y-tunnus]],'1.2 Ohjaus-laskentataulu'!A:AY,COLUMN('1.2 Ohjaus-laskentataulu'!AX:AX),FALSE),0)</f>
        <v>15248009</v>
      </c>
      <c r="V127" s="141">
        <f>IFERROR(Vertailu[[#This Row],[Rahoitus ml. hark. kor. + alv 2021, €]]-Vertailu[[#This Row],[Rahoitus ml. hark. kor. + alv 2020, €]],0)</f>
        <v>-291402</v>
      </c>
      <c r="W127" s="43">
        <f>IFERROR(Vertailu[[#This Row],[Muutos, € 3]]/Vertailu[[#This Row],[Rahoitus ml. hark. kor. + alv 2020, €]],0)</f>
        <v>-1.8752448210553153E-2</v>
      </c>
      <c r="X127" s="18">
        <f>IFERROR(VLOOKUP(Vertailu[[#This Row],[Y-tunnus]],'Suoritepäätös 2020'!$B:$N,COLUMN('Suoritepäätös 2020'!G:G),FALSE),0)</f>
        <v>10289602</v>
      </c>
      <c r="Y127" s="18">
        <f>IFERROR(VLOOKUP(Vertailu[[#This Row],[Y-tunnus]],'1.2 Ohjaus-laskentataulu'!A:AY,COLUMN('1.2 Ohjaus-laskentataulu'!AS:AS),FALSE),0)</f>
        <v>10397018</v>
      </c>
      <c r="Z127" s="18">
        <f>Vertailu[[#This Row],[Perusrahoitus 2021, €]]-Vertailu[[#This Row],[Perusrahoitus 2020, €]]</f>
        <v>107416</v>
      </c>
      <c r="AA127" s="43">
        <f>IFERROR(Vertailu[[#This Row],[Perusrahoituksen muutos, €]]/Vertailu[[#This Row],[Perusrahoitus 2020, €]],0)</f>
        <v>1.043927646569809E-2</v>
      </c>
      <c r="AB127" s="18">
        <f>IFERROR(VLOOKUP(Vertailu[[#This Row],[Y-tunnus]],'Suoritepäätös 2020'!$B:$N,COLUMN('Suoritepäätös 2020'!M:M),FALSE),0)</f>
        <v>3642422</v>
      </c>
      <c r="AC127" s="18">
        <f>IFERROR(VLOOKUP(Vertailu[[#This Row],[Y-tunnus]],'1.2 Ohjaus-laskentataulu'!A:AY,COLUMN('1.2 Ohjaus-laskentataulu'!O:O),FALSE),0)</f>
        <v>3152959</v>
      </c>
      <c r="AD127" s="18">
        <f>Vertailu[[#This Row],[Suoritusrahoitus 2021, €]]-Vertailu[[#This Row],[Suoritusrahoitus 2020, €]]</f>
        <v>-489463</v>
      </c>
      <c r="AE127" s="43">
        <f>IFERROR(Vertailu[[#This Row],[Suoritusrahoituksen muutos, €]]/Vertailu[[#This Row],[Suoritusrahoitus 2020, €]],0)</f>
        <v>-0.13437844379371747</v>
      </c>
      <c r="AF127" s="18">
        <f>IFERROR(VLOOKUP(Vertailu[[#This Row],[Y-tunnus]],'Suoritepäätös 2020'!$Q:$AC,COLUMN('Suoritepäätös 2020'!K:K),FALSE),0)</f>
        <v>1607387</v>
      </c>
      <c r="AG127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1698032</v>
      </c>
      <c r="AH127" s="18">
        <f>Vertailu[[#This Row],[Vaikuttavuusrahoitus 2021, €]]-Vertailu[[#This Row],[Vaikuttavuusrahoitus 2020, €]]</f>
        <v>90645</v>
      </c>
      <c r="AI127" s="43">
        <f>IFERROR(Vertailu[[#This Row],[Vaikuttavuusrahoituksen muutos, €]]/Vertailu[[#This Row],[Vaikuttavuusrahoitus 2020, €]],0)</f>
        <v>5.6392766645493586E-2</v>
      </c>
    </row>
    <row r="128" spans="1:35" ht="12.75" customHeight="1" x14ac:dyDescent="0.25">
      <c r="A128" s="22" t="s">
        <v>255</v>
      </c>
      <c r="B128" s="236" t="s">
        <v>124</v>
      </c>
      <c r="C128" s="142" t="s">
        <v>227</v>
      </c>
      <c r="D128" s="170" t="s">
        <v>392</v>
      </c>
      <c r="E128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0.62703066064986568</v>
      </c>
      <c r="F128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0.63699604036709578</v>
      </c>
      <c r="G128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0.21539874833723488</v>
      </c>
      <c r="H128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0.14760521129566934</v>
      </c>
      <c r="I128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8.8085043221789547E-2</v>
      </c>
      <c r="J128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1.6075154021863932E-2</v>
      </c>
      <c r="K128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4.3445014052015847E-2</v>
      </c>
      <c r="L128" s="18">
        <f>IFERROR(VLOOKUP(Vertailu[[#This Row],[Y-tunnus]],'Suoritepäätös 2020'!$Q:$AC,COLUMN('Suoritepäätös 2020'!L:L),FALSE)-VLOOKUP(Vertailu[[#This Row],[Y-tunnus]],'Suoritepäätös 2020'!$B:$N,COLUMN('Suoritepäätös 2020'!F:F),FALSE),0)</f>
        <v>14313375</v>
      </c>
      <c r="M128" s="18">
        <f>IFERROR(VLOOKUP(Vertailu[[#This Row],[Y-tunnus]],'1.2 Ohjaus-laskentataulu'!A:AY,COLUMN('1.2 Ohjaus-laskentataulu'!Z:Z),FALSE),0)</f>
        <v>17882533</v>
      </c>
      <c r="N128" s="18">
        <f>IFERROR(Vertailu[[#This Row],[Rahoitus pl. hark. kor. 2021 ilman alv, €]]-Vertailu[[#This Row],[Rahoitus pl. hark. kor. 2020 ilman alv, €]],0)</f>
        <v>3569158</v>
      </c>
      <c r="O128" s="43">
        <f>IFERROR(Vertailu[[#This Row],[Muutos, € 1]]/Vertailu[[#This Row],[Rahoitus pl. hark. kor. 2020 ilman alv, €]],0)</f>
        <v>0.24935824010759167</v>
      </c>
      <c r="P128" s="135">
        <f>IFERROR(VLOOKUP(Vertailu[[#This Row],[Y-tunnus]],'Suoritepäätös 2020'!$Q:$AC,COLUMN('Suoritepäätös 2020'!L:L),FALSE),0)</f>
        <v>14463375</v>
      </c>
      <c r="Q128" s="138">
        <f>IFERROR(VLOOKUP(Vertailu[[#This Row],[Y-tunnus]],'1.2 Ohjaus-laskentataulu'!A:AY,COLUMN('1.2 Ohjaus-laskentataulu'!AV:AV),FALSE),0)</f>
        <v>18062533</v>
      </c>
      <c r="R128" s="18">
        <f>IFERROR(Vertailu[[#This Row],[Rahoitus ml. hark. kor. 
2021 ilman alv, €]]-Vertailu[[#This Row],[Rahoitus ml. hark. kor. 
2020 ilman alv, €]],0)</f>
        <v>3599158</v>
      </c>
      <c r="S128" s="16">
        <f>IFERROR(Vertailu[[#This Row],[Muutos, € 2]]/Vertailu[[#This Row],[Rahoitus ml. hark. kor. 
2020 ilman alv, €]],0)</f>
        <v>0.24884634464639133</v>
      </c>
      <c r="T128" s="138">
        <f>IFERROR(VLOOKUP(Vertailu[[#This Row],[Y-tunnus]],'Suoritepäätös 2020'!$Q:$AC,COLUMN('Suoritepäätös 2020'!L:L),FALSE)+VLOOKUP(Vertailu[[#This Row],[Y-tunnus]],'Suoritepäätös 2020'!$Q:$AC,COLUMN('Suoritepäätös 2020'!M:M),FALSE),0)</f>
        <v>15177534</v>
      </c>
      <c r="U128" s="135">
        <f>IFERROR(VLOOKUP(Vertailu[[#This Row],[Y-tunnus]],'1.2 Ohjaus-laskentataulu'!A:AY,COLUMN('1.2 Ohjaus-laskentataulu'!AX:AX),FALSE),0)</f>
        <v>19108531</v>
      </c>
      <c r="V128" s="141">
        <f>IFERROR(Vertailu[[#This Row],[Rahoitus ml. hark. kor. + alv 2021, €]]-Vertailu[[#This Row],[Rahoitus ml. hark. kor. + alv 2020, €]],0)</f>
        <v>3930997</v>
      </c>
      <c r="W128" s="43">
        <f>IFERROR(Vertailu[[#This Row],[Muutos, € 3]]/Vertailu[[#This Row],[Rahoitus ml. hark. kor. + alv 2020, €]],0)</f>
        <v>0.25900103402832109</v>
      </c>
      <c r="X128" s="18">
        <f>IFERROR(VLOOKUP(Vertailu[[#This Row],[Y-tunnus]],'Suoritepäätös 2020'!$B:$N,COLUMN('Suoritepäätös 2020'!G:G),FALSE),0)</f>
        <v>9543376</v>
      </c>
      <c r="Y128" s="18">
        <f>IFERROR(VLOOKUP(Vertailu[[#This Row],[Y-tunnus]],'1.2 Ohjaus-laskentataulu'!A:AY,COLUMN('1.2 Ohjaus-laskentataulu'!AS:AS),FALSE),0)</f>
        <v>11505762</v>
      </c>
      <c r="Z128" s="18">
        <f>Vertailu[[#This Row],[Perusrahoitus 2021, €]]-Vertailu[[#This Row],[Perusrahoitus 2020, €]]</f>
        <v>1962386</v>
      </c>
      <c r="AA128" s="43">
        <f>IFERROR(Vertailu[[#This Row],[Perusrahoituksen muutos, €]]/Vertailu[[#This Row],[Perusrahoitus 2020, €]],0)</f>
        <v>0.20562807124019844</v>
      </c>
      <c r="AB128" s="18">
        <f>IFERROR(VLOOKUP(Vertailu[[#This Row],[Y-tunnus]],'Suoritepäätös 2020'!$B:$N,COLUMN('Suoritepäätös 2020'!M:M),FALSE),0)</f>
        <v>2674971</v>
      </c>
      <c r="AC128" s="18">
        <f>IFERROR(VLOOKUP(Vertailu[[#This Row],[Y-tunnus]],'1.2 Ohjaus-laskentataulu'!A:AY,COLUMN('1.2 Ohjaus-laskentataulu'!O:O),FALSE),0)</f>
        <v>3890647</v>
      </c>
      <c r="AD128" s="18">
        <f>Vertailu[[#This Row],[Suoritusrahoitus 2021, €]]-Vertailu[[#This Row],[Suoritusrahoitus 2020, €]]</f>
        <v>1215676</v>
      </c>
      <c r="AE128" s="43">
        <f>IFERROR(Vertailu[[#This Row],[Suoritusrahoituksen muutos, €]]/Vertailu[[#This Row],[Suoritusrahoitus 2020, €]],0)</f>
        <v>0.45446324464825971</v>
      </c>
      <c r="AF128" s="18">
        <f>IFERROR(VLOOKUP(Vertailu[[#This Row],[Y-tunnus]],'Suoritepäätös 2020'!$Q:$AC,COLUMN('Suoritepäätös 2020'!K:K),FALSE),0)</f>
        <v>2245028</v>
      </c>
      <c r="AG128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2666124</v>
      </c>
      <c r="AH128" s="18">
        <f>Vertailu[[#This Row],[Vaikuttavuusrahoitus 2021, €]]-Vertailu[[#This Row],[Vaikuttavuusrahoitus 2020, €]]</f>
        <v>421096</v>
      </c>
      <c r="AI128" s="43">
        <f>IFERROR(Vertailu[[#This Row],[Vaikuttavuusrahoituksen muutos, €]]/Vertailu[[#This Row],[Vaikuttavuusrahoitus 2020, €]],0)</f>
        <v>0.18756826195486204</v>
      </c>
    </row>
    <row r="129" spans="1:35" ht="12.75" customHeight="1" x14ac:dyDescent="0.25">
      <c r="A129" s="22" t="s">
        <v>254</v>
      </c>
      <c r="B129" s="236" t="s">
        <v>125</v>
      </c>
      <c r="C129" s="142" t="s">
        <v>227</v>
      </c>
      <c r="D129" s="170" t="s">
        <v>393</v>
      </c>
      <c r="E129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0.67282131371227216</v>
      </c>
      <c r="F129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0.67578955156108955</v>
      </c>
      <c r="G129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0.21300938290487642</v>
      </c>
      <c r="H129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0.11120106553403403</v>
      </c>
      <c r="I129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8.3445331517381843E-2</v>
      </c>
      <c r="J129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6.6449928989309025E-3</v>
      </c>
      <c r="K129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2.1110741117721286E-2</v>
      </c>
      <c r="L129" s="18">
        <f>IFERROR(VLOOKUP(Vertailu[[#This Row],[Y-tunnus]],'Suoritepäätös 2020'!$Q:$AC,COLUMN('Suoritepäätös 2020'!L:L),FALSE)-VLOOKUP(Vertailu[[#This Row],[Y-tunnus]],'Suoritepäätös 2020'!$B:$N,COLUMN('Suoritepäätös 2020'!F:F),FALSE),0)</f>
        <v>81637010</v>
      </c>
      <c r="M129" s="18">
        <f>IFERROR(VLOOKUP(Vertailu[[#This Row],[Y-tunnus]],'1.2 Ohjaus-laskentataulu'!A:AY,COLUMN('1.2 Ohjaus-laskentataulu'!Z:Z),FALSE),0)</f>
        <v>84982757</v>
      </c>
      <c r="N129" s="18">
        <f>IFERROR(Vertailu[[#This Row],[Rahoitus pl. hark. kor. 2021 ilman alv, €]]-Vertailu[[#This Row],[Rahoitus pl. hark. kor. 2020 ilman alv, €]],0)</f>
        <v>3345747</v>
      </c>
      <c r="O129" s="43">
        <f>IFERROR(Vertailu[[#This Row],[Muutos, € 1]]/Vertailu[[#This Row],[Rahoitus pl. hark. kor. 2020 ilman alv, €]],0)</f>
        <v>4.0983213373444224E-2</v>
      </c>
      <c r="P129" s="135">
        <f>IFERROR(VLOOKUP(Vertailu[[#This Row],[Y-tunnus]],'Suoritepäätös 2020'!$Q:$AC,COLUMN('Suoritepäätös 2020'!L:L),FALSE),0)</f>
        <v>81897010</v>
      </c>
      <c r="Q129" s="138">
        <f>IFERROR(VLOOKUP(Vertailu[[#This Row],[Y-tunnus]],'1.2 Ohjaus-laskentataulu'!A:AY,COLUMN('1.2 Ohjaus-laskentataulu'!AV:AV),FALSE),0)</f>
        <v>85235757</v>
      </c>
      <c r="R129" s="18">
        <f>IFERROR(Vertailu[[#This Row],[Rahoitus ml. hark. kor. 
2021 ilman alv, €]]-Vertailu[[#This Row],[Rahoitus ml. hark. kor. 
2020 ilman alv, €]],0)</f>
        <v>3338747</v>
      </c>
      <c r="S129" s="16">
        <f>IFERROR(Vertailu[[#This Row],[Muutos, € 2]]/Vertailu[[#This Row],[Rahoitus ml. hark. kor. 
2020 ilman alv, €]],0)</f>
        <v>4.076762997818846E-2</v>
      </c>
      <c r="T129" s="138">
        <f>IFERROR(VLOOKUP(Vertailu[[#This Row],[Y-tunnus]],'Suoritepäätös 2020'!$Q:$AC,COLUMN('Suoritepäätös 2020'!L:L),FALSE)+VLOOKUP(Vertailu[[#This Row],[Y-tunnus]],'Suoritepäätös 2020'!$Q:$AC,COLUMN('Suoritepäätös 2020'!M:M),FALSE),0)</f>
        <v>81897010</v>
      </c>
      <c r="U129" s="135">
        <f>IFERROR(VLOOKUP(Vertailu[[#This Row],[Y-tunnus]],'1.2 Ohjaus-laskentataulu'!A:AY,COLUMN('1.2 Ohjaus-laskentataulu'!AX:AX),FALSE),0)</f>
        <v>85235757</v>
      </c>
      <c r="V129" s="141">
        <f>IFERROR(Vertailu[[#This Row],[Rahoitus ml. hark. kor. + alv 2021, €]]-Vertailu[[#This Row],[Rahoitus ml. hark. kor. + alv 2020, €]],0)</f>
        <v>3338747</v>
      </c>
      <c r="W129" s="43">
        <f>IFERROR(Vertailu[[#This Row],[Muutos, € 3]]/Vertailu[[#This Row],[Rahoitus ml. hark. kor. + alv 2020, €]],0)</f>
        <v>4.076762997818846E-2</v>
      </c>
      <c r="X129" s="18">
        <f>IFERROR(VLOOKUP(Vertailu[[#This Row],[Y-tunnus]],'Suoritepäätös 2020'!$B:$N,COLUMN('Suoritepäätös 2020'!G:G),FALSE),0)</f>
        <v>54059448</v>
      </c>
      <c r="Y129" s="18">
        <f>IFERROR(VLOOKUP(Vertailu[[#This Row],[Y-tunnus]],'1.2 Ohjaus-laskentataulu'!A:AY,COLUMN('1.2 Ohjaus-laskentataulu'!AS:AS),FALSE),0)</f>
        <v>57601434</v>
      </c>
      <c r="Z129" s="18">
        <f>Vertailu[[#This Row],[Perusrahoitus 2021, €]]-Vertailu[[#This Row],[Perusrahoitus 2020, €]]</f>
        <v>3541986</v>
      </c>
      <c r="AA129" s="43">
        <f>IFERROR(Vertailu[[#This Row],[Perusrahoituksen muutos, €]]/Vertailu[[#This Row],[Perusrahoitus 2020, €]],0)</f>
        <v>6.5520202869996005E-2</v>
      </c>
      <c r="AB129" s="18">
        <f>IFERROR(VLOOKUP(Vertailu[[#This Row],[Y-tunnus]],'Suoritepäätös 2020'!$B:$N,COLUMN('Suoritepäätös 2020'!M:M),FALSE),0)</f>
        <v>17821693</v>
      </c>
      <c r="AC129" s="18">
        <f>IFERROR(VLOOKUP(Vertailu[[#This Row],[Y-tunnus]],'1.2 Ohjaus-laskentataulu'!A:AY,COLUMN('1.2 Ohjaus-laskentataulu'!O:O),FALSE),0)</f>
        <v>18156016</v>
      </c>
      <c r="AD129" s="18">
        <f>Vertailu[[#This Row],[Suoritusrahoitus 2021, €]]-Vertailu[[#This Row],[Suoritusrahoitus 2020, €]]</f>
        <v>334323</v>
      </c>
      <c r="AE129" s="43">
        <f>IFERROR(Vertailu[[#This Row],[Suoritusrahoituksen muutos, €]]/Vertailu[[#This Row],[Suoritusrahoitus 2020, €]],0)</f>
        <v>1.8759328869597292E-2</v>
      </c>
      <c r="AF129" s="18">
        <f>IFERROR(VLOOKUP(Vertailu[[#This Row],[Y-tunnus]],'Suoritepäätös 2020'!$Q:$AC,COLUMN('Suoritepäätös 2020'!K:K),FALSE),0)</f>
        <v>10015869</v>
      </c>
      <c r="AG129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9478307</v>
      </c>
      <c r="AH129" s="18">
        <f>Vertailu[[#This Row],[Vaikuttavuusrahoitus 2021, €]]-Vertailu[[#This Row],[Vaikuttavuusrahoitus 2020, €]]</f>
        <v>-537562</v>
      </c>
      <c r="AI129" s="43">
        <f>IFERROR(Vertailu[[#This Row],[Vaikuttavuusrahoituksen muutos, €]]/Vertailu[[#This Row],[Vaikuttavuusrahoitus 2020, €]],0)</f>
        <v>-5.3671029443376303E-2</v>
      </c>
    </row>
    <row r="130" spans="1:35" ht="12.75" customHeight="1" x14ac:dyDescent="0.25">
      <c r="A130" s="22" t="s">
        <v>253</v>
      </c>
      <c r="B130" s="236" t="s">
        <v>126</v>
      </c>
      <c r="C130" s="142" t="s">
        <v>227</v>
      </c>
      <c r="D130" s="170" t="s">
        <v>392</v>
      </c>
      <c r="E130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0.6720506251465892</v>
      </c>
      <c r="F130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0.6720506251465892</v>
      </c>
      <c r="G130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0.23407364641781081</v>
      </c>
      <c r="H130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9.3875728435599978E-2</v>
      </c>
      <c r="I130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7.4581205910476844E-2</v>
      </c>
      <c r="J130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5.0934111534089886E-3</v>
      </c>
      <c r="K130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1.4201111371714146E-2</v>
      </c>
      <c r="L130" s="18">
        <f>IFERROR(VLOOKUP(Vertailu[[#This Row],[Y-tunnus]],'Suoritepäätös 2020'!$Q:$AC,COLUMN('Suoritepäätös 2020'!L:L),FALSE)-VLOOKUP(Vertailu[[#This Row],[Y-tunnus]],'Suoritepäätös 2020'!$B:$N,COLUMN('Suoritepäätös 2020'!F:F),FALSE),0)</f>
        <v>876172</v>
      </c>
      <c r="M130" s="18">
        <f>IFERROR(VLOOKUP(Vertailu[[#This Row],[Y-tunnus]],'1.2 Ohjaus-laskentataulu'!A:AY,COLUMN('1.2 Ohjaus-laskentataulu'!Z:Z),FALSE),0)</f>
        <v>886832</v>
      </c>
      <c r="N130" s="18">
        <f>IFERROR(Vertailu[[#This Row],[Rahoitus pl. hark. kor. 2021 ilman alv, €]]-Vertailu[[#This Row],[Rahoitus pl. hark. kor. 2020 ilman alv, €]],0)</f>
        <v>10660</v>
      </c>
      <c r="O130" s="43">
        <f>IFERROR(Vertailu[[#This Row],[Muutos, € 1]]/Vertailu[[#This Row],[Rahoitus pl. hark. kor. 2020 ilman alv, €]],0)</f>
        <v>1.2166560903566879E-2</v>
      </c>
      <c r="P130" s="135">
        <f>IFERROR(VLOOKUP(Vertailu[[#This Row],[Y-tunnus]],'Suoritepäätös 2020'!$Q:$AC,COLUMN('Suoritepäätös 2020'!L:L),FALSE),0)</f>
        <v>876172</v>
      </c>
      <c r="Q130" s="138">
        <f>IFERROR(VLOOKUP(Vertailu[[#This Row],[Y-tunnus]],'1.2 Ohjaus-laskentataulu'!A:AY,COLUMN('1.2 Ohjaus-laskentataulu'!AV:AV),FALSE),0)</f>
        <v>886832</v>
      </c>
      <c r="R130" s="18">
        <f>IFERROR(Vertailu[[#This Row],[Rahoitus ml. hark. kor. 
2021 ilman alv, €]]-Vertailu[[#This Row],[Rahoitus ml. hark. kor. 
2020 ilman alv, €]],0)</f>
        <v>10660</v>
      </c>
      <c r="S130" s="16">
        <f>IFERROR(Vertailu[[#This Row],[Muutos, € 2]]/Vertailu[[#This Row],[Rahoitus ml. hark. kor. 
2020 ilman alv, €]],0)</f>
        <v>1.2166560903566879E-2</v>
      </c>
      <c r="T130" s="138">
        <f>IFERROR(VLOOKUP(Vertailu[[#This Row],[Y-tunnus]],'Suoritepäätös 2020'!$Q:$AC,COLUMN('Suoritepäätös 2020'!L:L),FALSE)+VLOOKUP(Vertailu[[#This Row],[Y-tunnus]],'Suoritepäätös 2020'!$Q:$AC,COLUMN('Suoritepäätös 2020'!M:M),FALSE),0)</f>
        <v>904980</v>
      </c>
      <c r="U130" s="135">
        <f>IFERROR(VLOOKUP(Vertailu[[#This Row],[Y-tunnus]],'1.2 Ohjaus-laskentataulu'!A:AY,COLUMN('1.2 Ohjaus-laskentataulu'!AX:AX),FALSE),0)</f>
        <v>922447</v>
      </c>
      <c r="V130" s="141">
        <f>IFERROR(Vertailu[[#This Row],[Rahoitus ml. hark. kor. + alv 2021, €]]-Vertailu[[#This Row],[Rahoitus ml. hark. kor. + alv 2020, €]],0)</f>
        <v>17467</v>
      </c>
      <c r="W130" s="43">
        <f>IFERROR(Vertailu[[#This Row],[Muutos, € 3]]/Vertailu[[#This Row],[Rahoitus ml. hark. kor. + alv 2020, €]],0)</f>
        <v>1.9300979027160822E-2</v>
      </c>
      <c r="X130" s="18">
        <f>IFERROR(VLOOKUP(Vertailu[[#This Row],[Y-tunnus]],'Suoritepäätös 2020'!$B:$N,COLUMN('Suoritepäätös 2020'!G:G),FALSE),0)</f>
        <v>573069</v>
      </c>
      <c r="Y130" s="18">
        <f>IFERROR(VLOOKUP(Vertailu[[#This Row],[Y-tunnus]],'1.2 Ohjaus-laskentataulu'!A:AY,COLUMN('1.2 Ohjaus-laskentataulu'!AS:AS),FALSE),0)</f>
        <v>595996</v>
      </c>
      <c r="Z130" s="18">
        <f>Vertailu[[#This Row],[Perusrahoitus 2021, €]]-Vertailu[[#This Row],[Perusrahoitus 2020, €]]</f>
        <v>22927</v>
      </c>
      <c r="AA130" s="43">
        <f>IFERROR(Vertailu[[#This Row],[Perusrahoituksen muutos, €]]/Vertailu[[#This Row],[Perusrahoitus 2020, €]],0)</f>
        <v>4.0007398760009701E-2</v>
      </c>
      <c r="AB130" s="18">
        <f>IFERROR(VLOOKUP(Vertailu[[#This Row],[Y-tunnus]],'Suoritepäätös 2020'!$B:$N,COLUMN('Suoritepäätös 2020'!M:M),FALSE),0)</f>
        <v>229491</v>
      </c>
      <c r="AC130" s="18">
        <f>IFERROR(VLOOKUP(Vertailu[[#This Row],[Y-tunnus]],'1.2 Ohjaus-laskentataulu'!A:AY,COLUMN('1.2 Ohjaus-laskentataulu'!O:O),FALSE),0)</f>
        <v>207584</v>
      </c>
      <c r="AD130" s="18">
        <f>Vertailu[[#This Row],[Suoritusrahoitus 2021, €]]-Vertailu[[#This Row],[Suoritusrahoitus 2020, €]]</f>
        <v>-21907</v>
      </c>
      <c r="AE130" s="43">
        <f>IFERROR(Vertailu[[#This Row],[Suoritusrahoituksen muutos, €]]/Vertailu[[#This Row],[Suoritusrahoitus 2020, €]],0)</f>
        <v>-9.5459081184011571E-2</v>
      </c>
      <c r="AF130" s="18">
        <f>IFERROR(VLOOKUP(Vertailu[[#This Row],[Y-tunnus]],'Suoritepäätös 2020'!$Q:$AC,COLUMN('Suoritepäätös 2020'!K:K),FALSE),0)</f>
        <v>73612</v>
      </c>
      <c r="AG130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83252</v>
      </c>
      <c r="AH130" s="18">
        <f>Vertailu[[#This Row],[Vaikuttavuusrahoitus 2021, €]]-Vertailu[[#This Row],[Vaikuttavuusrahoitus 2020, €]]</f>
        <v>9640</v>
      </c>
      <c r="AI130" s="43">
        <f>IFERROR(Vertailu[[#This Row],[Vaikuttavuusrahoituksen muutos, €]]/Vertailu[[#This Row],[Vaikuttavuusrahoitus 2020, €]],0)</f>
        <v>0.13095690919958702</v>
      </c>
    </row>
    <row r="131" spans="1:35" ht="12.75" customHeight="1" x14ac:dyDescent="0.25">
      <c r="A131" s="22" t="s">
        <v>251</v>
      </c>
      <c r="B131" s="236" t="s">
        <v>127</v>
      </c>
      <c r="C131" s="142" t="s">
        <v>250</v>
      </c>
      <c r="D131" s="170" t="s">
        <v>392</v>
      </c>
      <c r="E131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0.62645608322368729</v>
      </c>
      <c r="F131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0.62645608322368729</v>
      </c>
      <c r="G131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0.29641055252122717</v>
      </c>
      <c r="H131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7.7133364255085518E-2</v>
      </c>
      <c r="I131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5.8612496805278157E-2</v>
      </c>
      <c r="J131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5.3122308151036983E-3</v>
      </c>
      <c r="K131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1.3208636634703673E-2</v>
      </c>
      <c r="L131" s="18">
        <f>IFERROR(VLOOKUP(Vertailu[[#This Row],[Y-tunnus]],'Suoritepäätös 2020'!$Q:$AC,COLUMN('Suoritepäätös 2020'!L:L),FALSE)-VLOOKUP(Vertailu[[#This Row],[Y-tunnus]],'Suoritepäätös 2020'!$B:$N,COLUMN('Suoritepäätös 2020'!F:F),FALSE),0)</f>
        <v>1023084</v>
      </c>
      <c r="M131" s="18">
        <f>IFERROR(VLOOKUP(Vertailu[[#This Row],[Y-tunnus]],'1.2 Ohjaus-laskentataulu'!A:AY,COLUMN('1.2 Ohjaus-laskentataulu'!Z:Z),FALSE),0)</f>
        <v>1056430</v>
      </c>
      <c r="N131" s="18">
        <f>IFERROR(Vertailu[[#This Row],[Rahoitus pl. hark. kor. 2021 ilman alv, €]]-Vertailu[[#This Row],[Rahoitus pl. hark. kor. 2020 ilman alv, €]],0)</f>
        <v>33346</v>
      </c>
      <c r="O131" s="43">
        <f>IFERROR(Vertailu[[#This Row],[Muutos, € 1]]/Vertailu[[#This Row],[Rahoitus pl. hark. kor. 2020 ilman alv, €]],0)</f>
        <v>3.2593609126914308E-2</v>
      </c>
      <c r="P131" s="135">
        <f>IFERROR(VLOOKUP(Vertailu[[#This Row],[Y-tunnus]],'Suoritepäätös 2020'!$Q:$AC,COLUMN('Suoritepäätös 2020'!L:L),FALSE),0)</f>
        <v>1023084</v>
      </c>
      <c r="Q131" s="138">
        <f>IFERROR(VLOOKUP(Vertailu[[#This Row],[Y-tunnus]],'1.2 Ohjaus-laskentataulu'!A:AY,COLUMN('1.2 Ohjaus-laskentataulu'!AV:AV),FALSE),0)</f>
        <v>1056430</v>
      </c>
      <c r="R131" s="18">
        <f>IFERROR(Vertailu[[#This Row],[Rahoitus ml. hark. kor. 
2021 ilman alv, €]]-Vertailu[[#This Row],[Rahoitus ml. hark. kor. 
2020 ilman alv, €]],0)</f>
        <v>33346</v>
      </c>
      <c r="S131" s="16">
        <f>IFERROR(Vertailu[[#This Row],[Muutos, € 2]]/Vertailu[[#This Row],[Rahoitus ml. hark. kor. 
2020 ilman alv, €]],0)</f>
        <v>3.2593609126914308E-2</v>
      </c>
      <c r="T131" s="138">
        <f>IFERROR(VLOOKUP(Vertailu[[#This Row],[Y-tunnus]],'Suoritepäätös 2020'!$Q:$AC,COLUMN('Suoritepäätös 2020'!L:L),FALSE)+VLOOKUP(Vertailu[[#This Row],[Y-tunnus]],'Suoritepäätös 2020'!$Q:$AC,COLUMN('Suoritepäätös 2020'!M:M),FALSE),0)</f>
        <v>1067565</v>
      </c>
      <c r="U131" s="135">
        <f>IFERROR(VLOOKUP(Vertailu[[#This Row],[Y-tunnus]],'1.2 Ohjaus-laskentataulu'!A:AY,COLUMN('1.2 Ohjaus-laskentataulu'!AX:AX),FALSE),0)</f>
        <v>1104614</v>
      </c>
      <c r="V131" s="141">
        <f>IFERROR(Vertailu[[#This Row],[Rahoitus ml. hark. kor. + alv 2021, €]]-Vertailu[[#This Row],[Rahoitus ml. hark. kor. + alv 2020, €]],0)</f>
        <v>37049</v>
      </c>
      <c r="W131" s="43">
        <f>IFERROR(Vertailu[[#This Row],[Muutos, € 3]]/Vertailu[[#This Row],[Rahoitus ml. hark. kor. + alv 2020, €]],0)</f>
        <v>3.4704210048100113E-2</v>
      </c>
      <c r="X131" s="18">
        <f>IFERROR(VLOOKUP(Vertailu[[#This Row],[Y-tunnus]],'Suoritepäätös 2020'!$B:$N,COLUMN('Suoritepäätös 2020'!G:G),FALSE),0)</f>
        <v>619104</v>
      </c>
      <c r="Y131" s="18">
        <f>IFERROR(VLOOKUP(Vertailu[[#This Row],[Y-tunnus]],'1.2 Ohjaus-laskentataulu'!A:AY,COLUMN('1.2 Ohjaus-laskentataulu'!AS:AS),FALSE),0)</f>
        <v>661807</v>
      </c>
      <c r="Z131" s="18">
        <f>Vertailu[[#This Row],[Perusrahoitus 2021, €]]-Vertailu[[#This Row],[Perusrahoitus 2020, €]]</f>
        <v>42703</v>
      </c>
      <c r="AA131" s="43">
        <f>IFERROR(Vertailu[[#This Row],[Perusrahoituksen muutos, €]]/Vertailu[[#This Row],[Perusrahoitus 2020, €]],0)</f>
        <v>6.8975487155631371E-2</v>
      </c>
      <c r="AB131" s="18">
        <f>IFERROR(VLOOKUP(Vertailu[[#This Row],[Y-tunnus]],'Suoritepäätös 2020'!$B:$N,COLUMN('Suoritepäätös 2020'!M:M),FALSE),0)</f>
        <v>331177</v>
      </c>
      <c r="AC131" s="18">
        <f>IFERROR(VLOOKUP(Vertailu[[#This Row],[Y-tunnus]],'1.2 Ohjaus-laskentataulu'!A:AY,COLUMN('1.2 Ohjaus-laskentataulu'!O:O),FALSE),0)</f>
        <v>313137</v>
      </c>
      <c r="AD131" s="18">
        <f>Vertailu[[#This Row],[Suoritusrahoitus 2021, €]]-Vertailu[[#This Row],[Suoritusrahoitus 2020, €]]</f>
        <v>-18040</v>
      </c>
      <c r="AE131" s="43">
        <f>IFERROR(Vertailu[[#This Row],[Suoritusrahoituksen muutos, €]]/Vertailu[[#This Row],[Suoritusrahoitus 2020, €]],0)</f>
        <v>-5.4472381838110741E-2</v>
      </c>
      <c r="AF131" s="18">
        <f>IFERROR(VLOOKUP(Vertailu[[#This Row],[Y-tunnus]],'Suoritepäätös 2020'!$Q:$AC,COLUMN('Suoritepäätös 2020'!K:K),FALSE),0)</f>
        <v>72803</v>
      </c>
      <c r="AG131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81486</v>
      </c>
      <c r="AH131" s="18">
        <f>Vertailu[[#This Row],[Vaikuttavuusrahoitus 2021, €]]-Vertailu[[#This Row],[Vaikuttavuusrahoitus 2020, €]]</f>
        <v>8683</v>
      </c>
      <c r="AI131" s="43">
        <f>IFERROR(Vertailu[[#This Row],[Vaikuttavuusrahoituksen muutos, €]]/Vertailu[[#This Row],[Vaikuttavuusrahoitus 2020, €]],0)</f>
        <v>0.11926706317047374</v>
      </c>
    </row>
    <row r="132" spans="1:35" ht="12.75" customHeight="1" x14ac:dyDescent="0.25">
      <c r="A132" s="22" t="s">
        <v>246</v>
      </c>
      <c r="B132" s="236" t="s">
        <v>128</v>
      </c>
      <c r="C132" s="142" t="s">
        <v>220</v>
      </c>
      <c r="D132" s="170" t="s">
        <v>392</v>
      </c>
      <c r="E132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0.72770846068873807</v>
      </c>
      <c r="F132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0.72770846068873807</v>
      </c>
      <c r="G132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0.20083566594811406</v>
      </c>
      <c r="H132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7.1455873363147904E-2</v>
      </c>
      <c r="I132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4.8614480443572174E-2</v>
      </c>
      <c r="J132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5.8222064927125894E-3</v>
      </c>
      <c r="K132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1.7019186426863144E-2</v>
      </c>
      <c r="L132" s="18">
        <f>IFERROR(VLOOKUP(Vertailu[[#This Row],[Y-tunnus]],'Suoritepäätös 2020'!$Q:$AC,COLUMN('Suoritepäätös 2020'!L:L),FALSE)-VLOOKUP(Vertailu[[#This Row],[Y-tunnus]],'Suoritepäätös 2020'!$B:$N,COLUMN('Suoritepäätös 2020'!F:F),FALSE),0)</f>
        <v>2403609</v>
      </c>
      <c r="M132" s="18">
        <f>IFERROR(VLOOKUP(Vertailu[[#This Row],[Y-tunnus]],'1.2 Ohjaus-laskentataulu'!A:AY,COLUMN('1.2 Ohjaus-laskentataulu'!Z:Z),FALSE),0)</f>
        <v>2331075</v>
      </c>
      <c r="N132" s="18">
        <f>IFERROR(Vertailu[[#This Row],[Rahoitus pl. hark. kor. 2021 ilman alv, €]]-Vertailu[[#This Row],[Rahoitus pl. hark. kor. 2020 ilman alv, €]],0)</f>
        <v>-72534</v>
      </c>
      <c r="O132" s="43">
        <f>IFERROR(Vertailu[[#This Row],[Muutos, € 1]]/Vertailu[[#This Row],[Rahoitus pl. hark. kor. 2020 ilman alv, €]],0)</f>
        <v>-3.0177121154064575E-2</v>
      </c>
      <c r="P132" s="135">
        <f>IFERROR(VLOOKUP(Vertailu[[#This Row],[Y-tunnus]],'Suoritepäätös 2020'!$Q:$AC,COLUMN('Suoritepäätös 2020'!L:L),FALSE),0)</f>
        <v>2403609</v>
      </c>
      <c r="Q132" s="138">
        <f>IFERROR(VLOOKUP(Vertailu[[#This Row],[Y-tunnus]],'1.2 Ohjaus-laskentataulu'!A:AY,COLUMN('1.2 Ohjaus-laskentataulu'!AV:AV),FALSE),0)</f>
        <v>2331075</v>
      </c>
      <c r="R132" s="18">
        <f>IFERROR(Vertailu[[#This Row],[Rahoitus ml. hark. kor. 
2021 ilman alv, €]]-Vertailu[[#This Row],[Rahoitus ml. hark. kor. 
2020 ilman alv, €]],0)</f>
        <v>-72534</v>
      </c>
      <c r="S132" s="16">
        <f>IFERROR(Vertailu[[#This Row],[Muutos, € 2]]/Vertailu[[#This Row],[Rahoitus ml. hark. kor. 
2020 ilman alv, €]],0)</f>
        <v>-3.0177121154064575E-2</v>
      </c>
      <c r="T132" s="138">
        <f>IFERROR(VLOOKUP(Vertailu[[#This Row],[Y-tunnus]],'Suoritepäätös 2020'!$Q:$AC,COLUMN('Suoritepäätös 2020'!L:L),FALSE)+VLOOKUP(Vertailu[[#This Row],[Y-tunnus]],'Suoritepäätös 2020'!$Q:$AC,COLUMN('Suoritepäätös 2020'!M:M),FALSE),0)</f>
        <v>2548248</v>
      </c>
      <c r="U132" s="135">
        <f>IFERROR(VLOOKUP(Vertailu[[#This Row],[Y-tunnus]],'1.2 Ohjaus-laskentataulu'!A:AY,COLUMN('1.2 Ohjaus-laskentataulu'!AX:AX),FALSE),0)</f>
        <v>2474370</v>
      </c>
      <c r="V132" s="141">
        <f>IFERROR(Vertailu[[#This Row],[Rahoitus ml. hark. kor. + alv 2021, €]]-Vertailu[[#This Row],[Rahoitus ml. hark. kor. + alv 2020, €]],0)</f>
        <v>-73878</v>
      </c>
      <c r="W132" s="43">
        <f>IFERROR(Vertailu[[#This Row],[Muutos, € 3]]/Vertailu[[#This Row],[Rahoitus ml. hark. kor. + alv 2020, €]],0)</f>
        <v>-2.8991683697976021E-2</v>
      </c>
      <c r="X132" s="18">
        <f>IFERROR(VLOOKUP(Vertailu[[#This Row],[Y-tunnus]],'Suoritepäätös 2020'!$B:$N,COLUMN('Suoritepäätös 2020'!G:G),FALSE),0)</f>
        <v>1643074</v>
      </c>
      <c r="Y132" s="18">
        <f>IFERROR(VLOOKUP(Vertailu[[#This Row],[Y-tunnus]],'1.2 Ohjaus-laskentataulu'!A:AY,COLUMN('1.2 Ohjaus-laskentataulu'!AS:AS),FALSE),0)</f>
        <v>1696343</v>
      </c>
      <c r="Z132" s="18">
        <f>Vertailu[[#This Row],[Perusrahoitus 2021, €]]-Vertailu[[#This Row],[Perusrahoitus 2020, €]]</f>
        <v>53269</v>
      </c>
      <c r="AA132" s="43">
        <f>IFERROR(Vertailu[[#This Row],[Perusrahoituksen muutos, €]]/Vertailu[[#This Row],[Perusrahoitus 2020, €]],0)</f>
        <v>3.2420329212196161E-2</v>
      </c>
      <c r="AB132" s="18">
        <f>IFERROR(VLOOKUP(Vertailu[[#This Row],[Y-tunnus]],'Suoritepäätös 2020'!$B:$N,COLUMN('Suoritepäätös 2020'!M:M),FALSE),0)</f>
        <v>555143</v>
      </c>
      <c r="AC132" s="18">
        <f>IFERROR(VLOOKUP(Vertailu[[#This Row],[Y-tunnus]],'1.2 Ohjaus-laskentataulu'!A:AY,COLUMN('1.2 Ohjaus-laskentataulu'!O:O),FALSE),0)</f>
        <v>468163</v>
      </c>
      <c r="AD132" s="18">
        <f>Vertailu[[#This Row],[Suoritusrahoitus 2021, €]]-Vertailu[[#This Row],[Suoritusrahoitus 2020, €]]</f>
        <v>-86980</v>
      </c>
      <c r="AE132" s="43">
        <f>IFERROR(Vertailu[[#This Row],[Suoritusrahoituksen muutos, €]]/Vertailu[[#This Row],[Suoritusrahoitus 2020, €]],0)</f>
        <v>-0.15668035082852527</v>
      </c>
      <c r="AF132" s="18">
        <f>IFERROR(VLOOKUP(Vertailu[[#This Row],[Y-tunnus]],'Suoritepäätös 2020'!$Q:$AC,COLUMN('Suoritepäätös 2020'!K:K),FALSE),0)</f>
        <v>205392</v>
      </c>
      <c r="AG132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166569</v>
      </c>
      <c r="AH132" s="18">
        <f>Vertailu[[#This Row],[Vaikuttavuusrahoitus 2021, €]]-Vertailu[[#This Row],[Vaikuttavuusrahoitus 2020, €]]</f>
        <v>-38823</v>
      </c>
      <c r="AI132" s="43">
        <f>IFERROR(Vertailu[[#This Row],[Vaikuttavuusrahoituksen muutos, €]]/Vertailu[[#This Row],[Vaikuttavuusrahoitus 2020, €]],0)</f>
        <v>-0.18901904650619303</v>
      </c>
    </row>
    <row r="133" spans="1:35" ht="12.75" customHeight="1" x14ac:dyDescent="0.25">
      <c r="A133" s="22" t="s">
        <v>248</v>
      </c>
      <c r="B133" s="236" t="s">
        <v>169</v>
      </c>
      <c r="C133" s="142" t="s">
        <v>216</v>
      </c>
      <c r="D133" s="170" t="s">
        <v>392</v>
      </c>
      <c r="E133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0.58282080128898994</v>
      </c>
      <c r="F133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0.58282080128898994</v>
      </c>
      <c r="G133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0.25831969933030724</v>
      </c>
      <c r="H133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0.15885949938070276</v>
      </c>
      <c r="I133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0.15885949938070276</v>
      </c>
      <c r="J133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0</v>
      </c>
      <c r="K133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0</v>
      </c>
      <c r="L133" s="18">
        <f>IFERROR(VLOOKUP(Vertailu[[#This Row],[Y-tunnus]],'Suoritepäätös 2020'!$Q:$AC,COLUMN('Suoritepäätös 2020'!L:L),FALSE)-VLOOKUP(Vertailu[[#This Row],[Y-tunnus]],'Suoritepäätös 2020'!$B:$N,COLUMN('Suoritepäätös 2020'!F:F),FALSE),0)</f>
        <v>272459</v>
      </c>
      <c r="M133" s="18">
        <f>IFERROR(VLOOKUP(Vertailu[[#This Row],[Y-tunnus]],'1.2 Ohjaus-laskentataulu'!A:AY,COLUMN('1.2 Ohjaus-laskentataulu'!Z:Z),FALSE),0)</f>
        <v>281771</v>
      </c>
      <c r="N133" s="18">
        <f>IFERROR(Vertailu[[#This Row],[Rahoitus pl. hark. kor. 2021 ilman alv, €]]-Vertailu[[#This Row],[Rahoitus pl. hark. kor. 2020 ilman alv, €]],0)</f>
        <v>9312</v>
      </c>
      <c r="O133" s="43">
        <f>IFERROR(Vertailu[[#This Row],[Muutos, € 1]]/Vertailu[[#This Row],[Rahoitus pl. hark. kor. 2020 ilman alv, €]],0)</f>
        <v>3.4177619384934979E-2</v>
      </c>
      <c r="P133" s="135">
        <f>IFERROR(VLOOKUP(Vertailu[[#This Row],[Y-tunnus]],'Suoritepäätös 2020'!$Q:$AC,COLUMN('Suoritepäätös 2020'!L:L),FALSE),0)</f>
        <v>272459</v>
      </c>
      <c r="Q133" s="138">
        <f>IFERROR(VLOOKUP(Vertailu[[#This Row],[Y-tunnus]],'1.2 Ohjaus-laskentataulu'!A:AY,COLUMN('1.2 Ohjaus-laskentataulu'!AV:AV),FALSE),0)</f>
        <v>281771</v>
      </c>
      <c r="R133" s="18">
        <f>IFERROR(Vertailu[[#This Row],[Rahoitus ml. hark. kor. 
2021 ilman alv, €]]-Vertailu[[#This Row],[Rahoitus ml. hark. kor. 
2020 ilman alv, €]],0)</f>
        <v>9312</v>
      </c>
      <c r="S133" s="16">
        <f>IFERROR(Vertailu[[#This Row],[Muutos, € 2]]/Vertailu[[#This Row],[Rahoitus ml. hark. kor. 
2020 ilman alv, €]],0)</f>
        <v>3.4177619384934979E-2</v>
      </c>
      <c r="T133" s="138">
        <f>IFERROR(VLOOKUP(Vertailu[[#This Row],[Y-tunnus]],'Suoritepäätös 2020'!$Q:$AC,COLUMN('Suoritepäätös 2020'!L:L),FALSE)+VLOOKUP(Vertailu[[#This Row],[Y-tunnus]],'Suoritepäätös 2020'!$Q:$AC,COLUMN('Suoritepäätös 2020'!M:M),FALSE),0)</f>
        <v>272459</v>
      </c>
      <c r="U133" s="135">
        <f>IFERROR(VLOOKUP(Vertailu[[#This Row],[Y-tunnus]],'1.2 Ohjaus-laskentataulu'!A:AY,COLUMN('1.2 Ohjaus-laskentataulu'!AX:AX),FALSE),0)</f>
        <v>282254</v>
      </c>
      <c r="V133" s="141">
        <f>IFERROR(Vertailu[[#This Row],[Rahoitus ml. hark. kor. + alv 2021, €]]-Vertailu[[#This Row],[Rahoitus ml. hark. kor. + alv 2020, €]],0)</f>
        <v>9795</v>
      </c>
      <c r="W133" s="43">
        <f>IFERROR(Vertailu[[#This Row],[Muutos, € 3]]/Vertailu[[#This Row],[Rahoitus ml. hark. kor. + alv 2020, €]],0)</f>
        <v>3.5950363173908734E-2</v>
      </c>
      <c r="X133" s="18">
        <f>IFERROR(VLOOKUP(Vertailu[[#This Row],[Y-tunnus]],'Suoritepäätös 2020'!$B:$N,COLUMN('Suoritepäätös 2020'!G:G),FALSE),0)</f>
        <v>157579</v>
      </c>
      <c r="Y133" s="18">
        <f>IFERROR(VLOOKUP(Vertailu[[#This Row],[Y-tunnus]],'1.2 Ohjaus-laskentataulu'!A:AY,COLUMN('1.2 Ohjaus-laskentataulu'!AS:AS),FALSE),0)</f>
        <v>164222</v>
      </c>
      <c r="Z133" s="18">
        <f>Vertailu[[#This Row],[Perusrahoitus 2021, €]]-Vertailu[[#This Row],[Perusrahoitus 2020, €]]</f>
        <v>6643</v>
      </c>
      <c r="AA133" s="43">
        <f>IFERROR(Vertailu[[#This Row],[Perusrahoituksen muutos, €]]/Vertailu[[#This Row],[Perusrahoitus 2020, €]],0)</f>
        <v>4.2156632546214913E-2</v>
      </c>
      <c r="AB133" s="18">
        <f>IFERROR(VLOOKUP(Vertailu[[#This Row],[Y-tunnus]],'Suoritepäätös 2020'!$B:$N,COLUMN('Suoritepäätös 2020'!M:M),FALSE),0)</f>
        <v>53600</v>
      </c>
      <c r="AC133" s="18">
        <f>IFERROR(VLOOKUP(Vertailu[[#This Row],[Y-tunnus]],'1.2 Ohjaus-laskentataulu'!A:AY,COLUMN('1.2 Ohjaus-laskentataulu'!O:O),FALSE),0)</f>
        <v>72787</v>
      </c>
      <c r="AD133" s="18">
        <f>Vertailu[[#This Row],[Suoritusrahoitus 2021, €]]-Vertailu[[#This Row],[Suoritusrahoitus 2020, €]]</f>
        <v>19187</v>
      </c>
      <c r="AE133" s="43">
        <f>IFERROR(Vertailu[[#This Row],[Suoritusrahoituksen muutos, €]]/Vertailu[[#This Row],[Suoritusrahoitus 2020, €]],0)</f>
        <v>0.35796641791044775</v>
      </c>
      <c r="AF133" s="18">
        <f>IFERROR(VLOOKUP(Vertailu[[#This Row],[Y-tunnus]],'Suoritepäätös 2020'!$Q:$AC,COLUMN('Suoritepäätös 2020'!K:K),FALSE),0)</f>
        <v>61280</v>
      </c>
      <c r="AG133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44762</v>
      </c>
      <c r="AH133" s="18">
        <f>Vertailu[[#This Row],[Vaikuttavuusrahoitus 2021, €]]-Vertailu[[#This Row],[Vaikuttavuusrahoitus 2020, €]]</f>
        <v>-16518</v>
      </c>
      <c r="AI133" s="43">
        <f>IFERROR(Vertailu[[#This Row],[Vaikuttavuusrahoituksen muutos, €]]/Vertailu[[#This Row],[Vaikuttavuusrahoitus 2020, €]],0)</f>
        <v>-0.2695496083550914</v>
      </c>
    </row>
    <row r="134" spans="1:35" ht="12.75" customHeight="1" x14ac:dyDescent="0.25">
      <c r="A134" s="22" t="s">
        <v>247</v>
      </c>
      <c r="B134" s="236" t="s">
        <v>129</v>
      </c>
      <c r="C134" s="142" t="s">
        <v>220</v>
      </c>
      <c r="D134" s="170" t="s">
        <v>392</v>
      </c>
      <c r="E134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0.68968972068447676</v>
      </c>
      <c r="F134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0.68968972068447676</v>
      </c>
      <c r="G134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0.27942389652785304</v>
      </c>
      <c r="H134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3.0886382787670218E-2</v>
      </c>
      <c r="I134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</v>
      </c>
      <c r="J134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1.3986787307499209E-2</v>
      </c>
      <c r="K134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1.6899595480171007E-2</v>
      </c>
      <c r="L134" s="18">
        <f>IFERROR(VLOOKUP(Vertailu[[#This Row],[Y-tunnus]],'Suoritepäätös 2020'!$Q:$AC,COLUMN('Suoritepäätös 2020'!L:L),FALSE)-VLOOKUP(Vertailu[[#This Row],[Y-tunnus]],'Suoritepäätös 2020'!$B:$N,COLUMN('Suoritepäätös 2020'!F:F),FALSE),0)</f>
        <v>253730</v>
      </c>
      <c r="M134" s="18">
        <f>IFERROR(VLOOKUP(Vertailu[[#This Row],[Y-tunnus]],'1.2 Ohjaus-laskentataulu'!A:AY,COLUMN('1.2 Ohjaus-laskentataulu'!Z:Z),FALSE),0)</f>
        <v>452141</v>
      </c>
      <c r="N134" s="18">
        <f>IFERROR(Vertailu[[#This Row],[Rahoitus pl. hark. kor. 2021 ilman alv, €]]-Vertailu[[#This Row],[Rahoitus pl. hark. kor. 2020 ilman alv, €]],0)</f>
        <v>198411</v>
      </c>
      <c r="O134" s="43">
        <f>IFERROR(Vertailu[[#This Row],[Muutos, € 1]]/Vertailu[[#This Row],[Rahoitus pl. hark. kor. 2020 ilman alv, €]],0)</f>
        <v>0.78197690458361246</v>
      </c>
      <c r="P134" s="135">
        <f>IFERROR(VLOOKUP(Vertailu[[#This Row],[Y-tunnus]],'Suoritepäätös 2020'!$Q:$AC,COLUMN('Suoritepäätös 2020'!L:L),FALSE),0)</f>
        <v>348619</v>
      </c>
      <c r="Q134" s="138">
        <f>IFERROR(VLOOKUP(Vertailu[[#This Row],[Y-tunnus]],'1.2 Ohjaus-laskentataulu'!A:AY,COLUMN('1.2 Ohjaus-laskentataulu'!AV:AV),FALSE),0)</f>
        <v>452141</v>
      </c>
      <c r="R134" s="18">
        <f>IFERROR(Vertailu[[#This Row],[Rahoitus ml. hark. kor. 
2021 ilman alv, €]]-Vertailu[[#This Row],[Rahoitus ml. hark. kor. 
2020 ilman alv, €]],0)</f>
        <v>103522</v>
      </c>
      <c r="S134" s="16">
        <f>IFERROR(Vertailu[[#This Row],[Muutos, € 2]]/Vertailu[[#This Row],[Rahoitus ml. hark. kor. 
2020 ilman alv, €]],0)</f>
        <v>0.29694881805065126</v>
      </c>
      <c r="T134" s="138">
        <f>IFERROR(VLOOKUP(Vertailu[[#This Row],[Y-tunnus]],'Suoritepäätös 2020'!$Q:$AC,COLUMN('Suoritepäätös 2020'!L:L),FALSE)+VLOOKUP(Vertailu[[#This Row],[Y-tunnus]],'Suoritepäätös 2020'!$Q:$AC,COLUMN('Suoritepäätös 2020'!M:M),FALSE),0)</f>
        <v>375763</v>
      </c>
      <c r="U134" s="135">
        <f>IFERROR(VLOOKUP(Vertailu[[#This Row],[Y-tunnus]],'1.2 Ohjaus-laskentataulu'!A:AY,COLUMN('1.2 Ohjaus-laskentataulu'!AX:AX),FALSE),0)</f>
        <v>490887</v>
      </c>
      <c r="V134" s="141">
        <f>IFERROR(Vertailu[[#This Row],[Rahoitus ml. hark. kor. + alv 2021, €]]-Vertailu[[#This Row],[Rahoitus ml. hark. kor. + alv 2020, €]],0)</f>
        <v>115124</v>
      </c>
      <c r="W134" s="43">
        <f>IFERROR(Vertailu[[#This Row],[Muutos, € 3]]/Vertailu[[#This Row],[Rahoitus ml. hark. kor. + alv 2020, €]],0)</f>
        <v>0.30637396444035203</v>
      </c>
      <c r="X134" s="18">
        <f>IFERROR(VLOOKUP(Vertailu[[#This Row],[Y-tunnus]],'Suoritepäätös 2020'!$B:$N,COLUMN('Suoritepäätös 2020'!G:G),FALSE),0)</f>
        <v>317979</v>
      </c>
      <c r="Y134" s="18">
        <f>IFERROR(VLOOKUP(Vertailu[[#This Row],[Y-tunnus]],'1.2 Ohjaus-laskentataulu'!A:AY,COLUMN('1.2 Ohjaus-laskentataulu'!AS:AS),FALSE),0)</f>
        <v>311837</v>
      </c>
      <c r="Z134" s="18">
        <f>Vertailu[[#This Row],[Perusrahoitus 2021, €]]-Vertailu[[#This Row],[Perusrahoitus 2020, €]]</f>
        <v>-6142</v>
      </c>
      <c r="AA134" s="43">
        <f>IFERROR(Vertailu[[#This Row],[Perusrahoituksen muutos, €]]/Vertailu[[#This Row],[Perusrahoitus 2020, €]],0)</f>
        <v>-1.9315740976605374E-2</v>
      </c>
      <c r="AB134" s="18">
        <f>IFERROR(VLOOKUP(Vertailu[[#This Row],[Y-tunnus]],'Suoritepäätös 2020'!$B:$N,COLUMN('Suoritepäätös 2020'!M:M),FALSE),0)</f>
        <v>6682</v>
      </c>
      <c r="AC134" s="18">
        <f>IFERROR(VLOOKUP(Vertailu[[#This Row],[Y-tunnus]],'1.2 Ohjaus-laskentataulu'!A:AY,COLUMN('1.2 Ohjaus-laskentataulu'!O:O),FALSE),0)</f>
        <v>126339</v>
      </c>
      <c r="AD134" s="18">
        <f>Vertailu[[#This Row],[Suoritusrahoitus 2021, €]]-Vertailu[[#This Row],[Suoritusrahoitus 2020, €]]</f>
        <v>119657</v>
      </c>
      <c r="AE134" s="43">
        <f>IFERROR(Vertailu[[#This Row],[Suoritusrahoituksen muutos, €]]/Vertailu[[#This Row],[Suoritusrahoitus 2020, €]],0)</f>
        <v>17.907363064950612</v>
      </c>
      <c r="AF134" s="18">
        <f>IFERROR(VLOOKUP(Vertailu[[#This Row],[Y-tunnus]],'Suoritepäätös 2020'!$Q:$AC,COLUMN('Suoritepäätös 2020'!K:K),FALSE),0)</f>
        <v>23958</v>
      </c>
      <c r="AG134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13965</v>
      </c>
      <c r="AH134" s="18">
        <f>Vertailu[[#This Row],[Vaikuttavuusrahoitus 2021, €]]-Vertailu[[#This Row],[Vaikuttavuusrahoitus 2020, €]]</f>
        <v>-9993</v>
      </c>
      <c r="AI134" s="43">
        <f>IFERROR(Vertailu[[#This Row],[Vaikuttavuusrahoituksen muutos, €]]/Vertailu[[#This Row],[Vaikuttavuusrahoitus 2020, €]],0)</f>
        <v>-0.41710493363385925</v>
      </c>
    </row>
    <row r="135" spans="1:35" ht="12.75" customHeight="1" x14ac:dyDescent="0.25">
      <c r="A135" s="22" t="s">
        <v>245</v>
      </c>
      <c r="B135" s="236" t="s">
        <v>170</v>
      </c>
      <c r="C135" s="142" t="s">
        <v>216</v>
      </c>
      <c r="D135" s="170" t="s">
        <v>392</v>
      </c>
      <c r="E135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0.46284854245880863</v>
      </c>
      <c r="F135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0.46284854245880863</v>
      </c>
      <c r="G135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0.19464908111533588</v>
      </c>
      <c r="H135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0.34250237642585551</v>
      </c>
      <c r="I135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0.26853612167300378</v>
      </c>
      <c r="J135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0</v>
      </c>
      <c r="K135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7.3966254752851707E-2</v>
      </c>
      <c r="L135" s="18">
        <f>IFERROR(VLOOKUP(Vertailu[[#This Row],[Y-tunnus]],'Suoritepäätös 2020'!$Q:$AC,COLUMN('Suoritepäätös 2020'!L:L),FALSE)-VLOOKUP(Vertailu[[#This Row],[Y-tunnus]],'Suoritepäätös 2020'!$B:$N,COLUMN('Suoritepäätös 2020'!F:F),FALSE),0)</f>
        <v>44665</v>
      </c>
      <c r="M135" s="18">
        <f>IFERROR(VLOOKUP(Vertailu[[#This Row],[Y-tunnus]],'1.2 Ohjaus-laskentataulu'!A:AY,COLUMN('1.2 Ohjaus-laskentataulu'!Z:Z),FALSE),0)</f>
        <v>50496</v>
      </c>
      <c r="N135" s="18">
        <f>IFERROR(Vertailu[[#This Row],[Rahoitus pl. hark. kor. 2021 ilman alv, €]]-Vertailu[[#This Row],[Rahoitus pl. hark. kor. 2020 ilman alv, €]],0)</f>
        <v>5831</v>
      </c>
      <c r="O135" s="43">
        <f>IFERROR(Vertailu[[#This Row],[Muutos, € 1]]/Vertailu[[#This Row],[Rahoitus pl. hark. kor. 2020 ilman alv, €]],0)</f>
        <v>0.13054964737490204</v>
      </c>
      <c r="P135" s="135">
        <f>IFERROR(VLOOKUP(Vertailu[[#This Row],[Y-tunnus]],'Suoritepäätös 2020'!$Q:$AC,COLUMN('Suoritepäätös 2020'!L:L),FALSE),0)</f>
        <v>44665</v>
      </c>
      <c r="Q135" s="138">
        <f>IFERROR(VLOOKUP(Vertailu[[#This Row],[Y-tunnus]],'1.2 Ohjaus-laskentataulu'!A:AY,COLUMN('1.2 Ohjaus-laskentataulu'!AV:AV),FALSE),0)</f>
        <v>50496</v>
      </c>
      <c r="R135" s="18">
        <f>IFERROR(Vertailu[[#This Row],[Rahoitus ml. hark. kor. 
2021 ilman alv, €]]-Vertailu[[#This Row],[Rahoitus ml. hark. kor. 
2020 ilman alv, €]],0)</f>
        <v>5831</v>
      </c>
      <c r="S135" s="16">
        <f>IFERROR(Vertailu[[#This Row],[Muutos, € 2]]/Vertailu[[#This Row],[Rahoitus ml. hark. kor. 
2020 ilman alv, €]],0)</f>
        <v>0.13054964737490204</v>
      </c>
      <c r="T135" s="138">
        <f>IFERROR(VLOOKUP(Vertailu[[#This Row],[Y-tunnus]],'Suoritepäätös 2020'!$Q:$AC,COLUMN('Suoritepäätös 2020'!L:L),FALSE)+VLOOKUP(Vertailu[[#This Row],[Y-tunnus]],'Suoritepäätös 2020'!$Q:$AC,COLUMN('Suoritepäätös 2020'!M:M),FALSE),0)</f>
        <v>46007</v>
      </c>
      <c r="U135" s="135">
        <f>IFERROR(VLOOKUP(Vertailu[[#This Row],[Y-tunnus]],'1.2 Ohjaus-laskentataulu'!A:AY,COLUMN('1.2 Ohjaus-laskentataulu'!AX:AX),FALSE),0)</f>
        <v>51602</v>
      </c>
      <c r="V135" s="141">
        <f>IFERROR(Vertailu[[#This Row],[Rahoitus ml. hark. kor. + alv 2021, €]]-Vertailu[[#This Row],[Rahoitus ml. hark. kor. + alv 2020, €]],0)</f>
        <v>5595</v>
      </c>
      <c r="W135" s="43">
        <f>IFERROR(Vertailu[[#This Row],[Muutos, € 3]]/Vertailu[[#This Row],[Rahoitus ml. hark. kor. + alv 2020, €]],0)</f>
        <v>0.1216119286195579</v>
      </c>
      <c r="X135" s="18">
        <f>IFERROR(VLOOKUP(Vertailu[[#This Row],[Y-tunnus]],'Suoritepäätös 2020'!$B:$N,COLUMN('Suoritepäätös 2020'!G:G),FALSE),0)</f>
        <v>22427</v>
      </c>
      <c r="Y135" s="18">
        <f>IFERROR(VLOOKUP(Vertailu[[#This Row],[Y-tunnus]],'1.2 Ohjaus-laskentataulu'!A:AY,COLUMN('1.2 Ohjaus-laskentataulu'!AS:AS),FALSE),0)</f>
        <v>23372</v>
      </c>
      <c r="Z135" s="18">
        <f>Vertailu[[#This Row],[Perusrahoitus 2021, €]]-Vertailu[[#This Row],[Perusrahoitus 2020, €]]</f>
        <v>945</v>
      </c>
      <c r="AA135" s="43">
        <f>IFERROR(Vertailu[[#This Row],[Perusrahoituksen muutos, €]]/Vertailu[[#This Row],[Perusrahoitus 2020, €]],0)</f>
        <v>4.2136710215365407E-2</v>
      </c>
      <c r="AB135" s="18">
        <f>IFERROR(VLOOKUP(Vertailu[[#This Row],[Y-tunnus]],'Suoritepäätös 2020'!$B:$N,COLUMN('Suoritepäätös 2020'!M:M),FALSE),0)</f>
        <v>9410</v>
      </c>
      <c r="AC135" s="18">
        <f>IFERROR(VLOOKUP(Vertailu[[#This Row],[Y-tunnus]],'1.2 Ohjaus-laskentataulu'!A:AY,COLUMN('1.2 Ohjaus-laskentataulu'!O:O),FALSE),0)</f>
        <v>9829</v>
      </c>
      <c r="AD135" s="18">
        <f>Vertailu[[#This Row],[Suoritusrahoitus 2021, €]]-Vertailu[[#This Row],[Suoritusrahoitus 2020, €]]</f>
        <v>419</v>
      </c>
      <c r="AE135" s="43">
        <f>IFERROR(Vertailu[[#This Row],[Suoritusrahoituksen muutos, €]]/Vertailu[[#This Row],[Suoritusrahoitus 2020, €]],0)</f>
        <v>4.4527098831030822E-2</v>
      </c>
      <c r="AF135" s="18">
        <f>IFERROR(VLOOKUP(Vertailu[[#This Row],[Y-tunnus]],'Suoritepäätös 2020'!$Q:$AC,COLUMN('Suoritepäätös 2020'!K:K),FALSE),0)</f>
        <v>12828</v>
      </c>
      <c r="AG135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17295</v>
      </c>
      <c r="AH135" s="18">
        <f>Vertailu[[#This Row],[Vaikuttavuusrahoitus 2021, €]]-Vertailu[[#This Row],[Vaikuttavuusrahoitus 2020, €]]</f>
        <v>4467</v>
      </c>
      <c r="AI135" s="43">
        <f>IFERROR(Vertailu[[#This Row],[Vaikuttavuusrahoituksen muutos, €]]/Vertailu[[#This Row],[Vaikuttavuusrahoitus 2020, €]],0)</f>
        <v>0.34822263797941999</v>
      </c>
    </row>
    <row r="136" spans="1:35" ht="12.75" customHeight="1" x14ac:dyDescent="0.25">
      <c r="A136" s="22" t="s">
        <v>244</v>
      </c>
      <c r="B136" s="236" t="s">
        <v>130</v>
      </c>
      <c r="C136" s="142" t="s">
        <v>232</v>
      </c>
      <c r="D136" s="170" t="s">
        <v>392</v>
      </c>
      <c r="E136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0.62822787725306495</v>
      </c>
      <c r="F136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0.64425361043271456</v>
      </c>
      <c r="G136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0.21821175630817635</v>
      </c>
      <c r="H136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0.13753463325910906</v>
      </c>
      <c r="I136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9.680551519008547E-2</v>
      </c>
      <c r="J136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1.1022405011944356E-2</v>
      </c>
      <c r="K136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2.9706713057079229E-2</v>
      </c>
      <c r="L136" s="18">
        <f>IFERROR(VLOOKUP(Vertailu[[#This Row],[Y-tunnus]],'Suoritepäätös 2020'!$Q:$AC,COLUMN('Suoritepäätös 2020'!L:L),FALSE)-VLOOKUP(Vertailu[[#This Row],[Y-tunnus]],'Suoritepäätös 2020'!$B:$N,COLUMN('Suoritepäätös 2020'!F:F),FALSE),0)</f>
        <v>9749057</v>
      </c>
      <c r="M136" s="18">
        <f>IFERROR(VLOOKUP(Vertailu[[#This Row],[Y-tunnus]],'1.2 Ohjaus-laskentataulu'!A:AY,COLUMN('1.2 Ohjaus-laskentataulu'!Z:Z),FALSE),0)</f>
        <v>10437939</v>
      </c>
      <c r="N136" s="18">
        <f>IFERROR(Vertailu[[#This Row],[Rahoitus pl. hark. kor. 2021 ilman alv, €]]-Vertailu[[#This Row],[Rahoitus pl. hark. kor. 2020 ilman alv, €]],0)</f>
        <v>688882</v>
      </c>
      <c r="O136" s="43">
        <f>IFERROR(Vertailu[[#This Row],[Muutos, € 1]]/Vertailu[[#This Row],[Rahoitus pl. hark. kor. 2020 ilman alv, €]],0)</f>
        <v>7.0661398328063937E-2</v>
      </c>
      <c r="P136" s="135">
        <f>IFERROR(VLOOKUP(Vertailu[[#This Row],[Y-tunnus]],'Suoritepäätös 2020'!$Q:$AC,COLUMN('Suoritepäätös 2020'!L:L),FALSE),0)</f>
        <v>9979057</v>
      </c>
      <c r="Q136" s="138">
        <f>IFERROR(VLOOKUP(Vertailu[[#This Row],[Y-tunnus]],'1.2 Ohjaus-laskentataulu'!A:AY,COLUMN('1.2 Ohjaus-laskentataulu'!AV:AV),FALSE),0)</f>
        <v>10607939</v>
      </c>
      <c r="R136" s="18">
        <f>IFERROR(Vertailu[[#This Row],[Rahoitus ml. hark. kor. 
2021 ilman alv, €]]-Vertailu[[#This Row],[Rahoitus ml. hark. kor. 
2020 ilman alv, €]],0)</f>
        <v>628882</v>
      </c>
      <c r="S136" s="16">
        <f>IFERROR(Vertailu[[#This Row],[Muutos, € 2]]/Vertailu[[#This Row],[Rahoitus ml. hark. kor. 
2020 ilman alv, €]],0)</f>
        <v>6.3020183169612123E-2</v>
      </c>
      <c r="T136" s="138">
        <f>IFERROR(VLOOKUP(Vertailu[[#This Row],[Y-tunnus]],'Suoritepäätös 2020'!$Q:$AC,COLUMN('Suoritepäätös 2020'!L:L),FALSE)+VLOOKUP(Vertailu[[#This Row],[Y-tunnus]],'Suoritepäätös 2020'!$Q:$AC,COLUMN('Suoritepäätös 2020'!M:M),FALSE),0)</f>
        <v>10423719</v>
      </c>
      <c r="U136" s="135">
        <f>IFERROR(VLOOKUP(Vertailu[[#This Row],[Y-tunnus]],'1.2 Ohjaus-laskentataulu'!A:AY,COLUMN('1.2 Ohjaus-laskentataulu'!AX:AX),FALSE),0)</f>
        <v>11150499</v>
      </c>
      <c r="V136" s="141">
        <f>IFERROR(Vertailu[[#This Row],[Rahoitus ml. hark. kor. + alv 2021, €]]-Vertailu[[#This Row],[Rahoitus ml. hark. kor. + alv 2020, €]],0)</f>
        <v>726780</v>
      </c>
      <c r="W136" s="43">
        <f>IFERROR(Vertailu[[#This Row],[Muutos, € 3]]/Vertailu[[#This Row],[Rahoitus ml. hark. kor. + alv 2020, €]],0)</f>
        <v>6.9723675398387086E-2</v>
      </c>
      <c r="X136" s="18">
        <f>IFERROR(VLOOKUP(Vertailu[[#This Row],[Y-tunnus]],'Suoritepäätös 2020'!$B:$N,COLUMN('Suoritepäätös 2020'!G:G),FALSE),0)</f>
        <v>6181420</v>
      </c>
      <c r="Y136" s="18">
        <f>IFERROR(VLOOKUP(Vertailu[[#This Row],[Y-tunnus]],'1.2 Ohjaus-laskentataulu'!A:AY,COLUMN('1.2 Ohjaus-laskentataulu'!AS:AS),FALSE),0)</f>
        <v>6834203</v>
      </c>
      <c r="Z136" s="18">
        <f>Vertailu[[#This Row],[Perusrahoitus 2021, €]]-Vertailu[[#This Row],[Perusrahoitus 2020, €]]</f>
        <v>652783</v>
      </c>
      <c r="AA136" s="43">
        <f>IFERROR(Vertailu[[#This Row],[Perusrahoituksen muutos, €]]/Vertailu[[#This Row],[Perusrahoitus 2020, €]],0)</f>
        <v>0.10560405214335865</v>
      </c>
      <c r="AB136" s="18">
        <f>IFERROR(VLOOKUP(Vertailu[[#This Row],[Y-tunnus]],'Suoritepäätös 2020'!$B:$N,COLUMN('Suoritepäätös 2020'!M:M),FALSE),0)</f>
        <v>2280206</v>
      </c>
      <c r="AC136" s="18">
        <f>IFERROR(VLOOKUP(Vertailu[[#This Row],[Y-tunnus]],'1.2 Ohjaus-laskentataulu'!A:AY,COLUMN('1.2 Ohjaus-laskentataulu'!O:O),FALSE),0)</f>
        <v>2314777</v>
      </c>
      <c r="AD136" s="18">
        <f>Vertailu[[#This Row],[Suoritusrahoitus 2021, €]]-Vertailu[[#This Row],[Suoritusrahoitus 2020, €]]</f>
        <v>34571</v>
      </c>
      <c r="AE136" s="43">
        <f>IFERROR(Vertailu[[#This Row],[Suoritusrahoituksen muutos, €]]/Vertailu[[#This Row],[Suoritusrahoitus 2020, €]],0)</f>
        <v>1.5161349457022742E-2</v>
      </c>
      <c r="AF136" s="18">
        <f>IFERROR(VLOOKUP(Vertailu[[#This Row],[Y-tunnus]],'Suoritepäätös 2020'!$Q:$AC,COLUMN('Suoritepäätös 2020'!K:K),FALSE),0)</f>
        <v>1517431</v>
      </c>
      <c r="AG136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1458959</v>
      </c>
      <c r="AH136" s="18">
        <f>Vertailu[[#This Row],[Vaikuttavuusrahoitus 2021, €]]-Vertailu[[#This Row],[Vaikuttavuusrahoitus 2020, €]]</f>
        <v>-58472</v>
      </c>
      <c r="AI136" s="43">
        <f>IFERROR(Vertailu[[#This Row],[Vaikuttavuusrahoituksen muutos, €]]/Vertailu[[#This Row],[Vaikuttavuusrahoitus 2020, €]],0)</f>
        <v>-3.8533547818648754E-2</v>
      </c>
    </row>
    <row r="137" spans="1:35" ht="12.75" customHeight="1" x14ac:dyDescent="0.25">
      <c r="A137" s="22" t="s">
        <v>243</v>
      </c>
      <c r="B137" s="236" t="s">
        <v>131</v>
      </c>
      <c r="C137" s="142" t="s">
        <v>232</v>
      </c>
      <c r="D137" s="170" t="s">
        <v>392</v>
      </c>
      <c r="E137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0.737987614768989</v>
      </c>
      <c r="F137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0.74719368340943682</v>
      </c>
      <c r="G137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0.16722915746059802</v>
      </c>
      <c r="H137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8.5577159129965136E-2</v>
      </c>
      <c r="I137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6.5899801148917372E-2</v>
      </c>
      <c r="J137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7.806439338145039E-3</v>
      </c>
      <c r="K137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1.1870918642902736E-2</v>
      </c>
      <c r="L137" s="18">
        <f>IFERROR(VLOOKUP(Vertailu[[#This Row],[Y-tunnus]],'Suoritepäätös 2020'!$Q:$AC,COLUMN('Suoritepäätös 2020'!L:L),FALSE)-VLOOKUP(Vertailu[[#This Row],[Y-tunnus]],'Suoritepäätös 2020'!$B:$N,COLUMN('Suoritepäätös 2020'!F:F),FALSE),0)</f>
        <v>2910973</v>
      </c>
      <c r="M137" s="18">
        <f>IFERROR(VLOOKUP(Vertailu[[#This Row],[Y-tunnus]],'1.2 Ohjaus-laskentataulu'!A:AY,COLUMN('1.2 Ohjaus-laskentataulu'!Z:Z),FALSE),0)</f>
        <v>3228720</v>
      </c>
      <c r="N137" s="18">
        <f>IFERROR(Vertailu[[#This Row],[Rahoitus pl. hark. kor. 2021 ilman alv, €]]-Vertailu[[#This Row],[Rahoitus pl. hark. kor. 2020 ilman alv, €]],0)</f>
        <v>317747</v>
      </c>
      <c r="O137" s="43">
        <f>IFERROR(Vertailu[[#This Row],[Muutos, € 1]]/Vertailu[[#This Row],[Rahoitus pl. hark. kor. 2020 ilman alv, €]],0)</f>
        <v>0.10915491143339358</v>
      </c>
      <c r="P137" s="135">
        <f>IFERROR(VLOOKUP(Vertailu[[#This Row],[Y-tunnus]],'Suoritepäätös 2020'!$Q:$AC,COLUMN('Suoritepäätös 2020'!L:L),FALSE),0)</f>
        <v>2910973</v>
      </c>
      <c r="Q137" s="138">
        <f>IFERROR(VLOOKUP(Vertailu[[#This Row],[Y-tunnus]],'1.2 Ohjaus-laskentataulu'!A:AY,COLUMN('1.2 Ohjaus-laskentataulu'!AV:AV),FALSE),0)</f>
        <v>3258720</v>
      </c>
      <c r="R137" s="18">
        <f>IFERROR(Vertailu[[#This Row],[Rahoitus ml. hark. kor. 
2021 ilman alv, €]]-Vertailu[[#This Row],[Rahoitus ml. hark. kor. 
2020 ilman alv, €]],0)</f>
        <v>347747</v>
      </c>
      <c r="S137" s="16">
        <f>IFERROR(Vertailu[[#This Row],[Muutos, € 2]]/Vertailu[[#This Row],[Rahoitus ml. hark. kor. 
2020 ilman alv, €]],0)</f>
        <v>0.11946074388185668</v>
      </c>
      <c r="T137" s="138">
        <f>IFERROR(VLOOKUP(Vertailu[[#This Row],[Y-tunnus]],'Suoritepäätös 2020'!$Q:$AC,COLUMN('Suoritepäätös 2020'!L:L),FALSE)+VLOOKUP(Vertailu[[#This Row],[Y-tunnus]],'Suoritepäätös 2020'!$Q:$AC,COLUMN('Suoritepäätös 2020'!M:M),FALSE),0)</f>
        <v>3049973</v>
      </c>
      <c r="U137" s="135">
        <f>IFERROR(VLOOKUP(Vertailu[[#This Row],[Y-tunnus]],'1.2 Ohjaus-laskentataulu'!A:AY,COLUMN('1.2 Ohjaus-laskentataulu'!AX:AX),FALSE),0)</f>
        <v>3408000</v>
      </c>
      <c r="V137" s="141">
        <f>IFERROR(Vertailu[[#This Row],[Rahoitus ml. hark. kor. + alv 2021, €]]-Vertailu[[#This Row],[Rahoitus ml. hark. kor. + alv 2020, €]],0)</f>
        <v>358027</v>
      </c>
      <c r="W137" s="43">
        <f>IFERROR(Vertailu[[#This Row],[Muutos, € 3]]/Vertailu[[#This Row],[Rahoitus ml. hark. kor. + alv 2020, €]],0)</f>
        <v>0.11738694080242677</v>
      </c>
      <c r="X137" s="18">
        <f>IFERROR(VLOOKUP(Vertailu[[#This Row],[Y-tunnus]],'Suoritepäätös 2020'!$B:$N,COLUMN('Suoritepäätös 2020'!G:G),FALSE),0)</f>
        <v>2180142</v>
      </c>
      <c r="Y137" s="18">
        <f>IFERROR(VLOOKUP(Vertailu[[#This Row],[Y-tunnus]],'1.2 Ohjaus-laskentataulu'!A:AY,COLUMN('1.2 Ohjaus-laskentataulu'!AS:AS),FALSE),0)</f>
        <v>2434895</v>
      </c>
      <c r="Z137" s="18">
        <f>Vertailu[[#This Row],[Perusrahoitus 2021, €]]-Vertailu[[#This Row],[Perusrahoitus 2020, €]]</f>
        <v>254753</v>
      </c>
      <c r="AA137" s="43">
        <f>IFERROR(Vertailu[[#This Row],[Perusrahoituksen muutos, €]]/Vertailu[[#This Row],[Perusrahoitus 2020, €]],0)</f>
        <v>0.11685156287984912</v>
      </c>
      <c r="AB137" s="18">
        <f>IFERROR(VLOOKUP(Vertailu[[#This Row],[Y-tunnus]],'Suoritepäätös 2020'!$B:$N,COLUMN('Suoritepäätös 2020'!M:M),FALSE),0)</f>
        <v>443578</v>
      </c>
      <c r="AC137" s="18">
        <f>IFERROR(VLOOKUP(Vertailu[[#This Row],[Y-tunnus]],'1.2 Ohjaus-laskentataulu'!A:AY,COLUMN('1.2 Ohjaus-laskentataulu'!O:O),FALSE),0)</f>
        <v>544953</v>
      </c>
      <c r="AD137" s="18">
        <f>Vertailu[[#This Row],[Suoritusrahoitus 2021, €]]-Vertailu[[#This Row],[Suoritusrahoitus 2020, €]]</f>
        <v>101375</v>
      </c>
      <c r="AE137" s="43">
        <f>IFERROR(Vertailu[[#This Row],[Suoritusrahoituksen muutos, €]]/Vertailu[[#This Row],[Suoritusrahoitus 2020, €]],0)</f>
        <v>0.22853928734067064</v>
      </c>
      <c r="AF137" s="18">
        <f>IFERROR(VLOOKUP(Vertailu[[#This Row],[Y-tunnus]],'Suoritepäätös 2020'!$Q:$AC,COLUMN('Suoritepäätös 2020'!K:K),FALSE),0)</f>
        <v>287253</v>
      </c>
      <c r="AG137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278872</v>
      </c>
      <c r="AH137" s="18">
        <f>Vertailu[[#This Row],[Vaikuttavuusrahoitus 2021, €]]-Vertailu[[#This Row],[Vaikuttavuusrahoitus 2020, €]]</f>
        <v>-8381</v>
      </c>
      <c r="AI137" s="43">
        <f>IFERROR(Vertailu[[#This Row],[Vaikuttavuusrahoituksen muutos, €]]/Vertailu[[#This Row],[Vaikuttavuusrahoitus 2020, €]],0)</f>
        <v>-2.9176370655833013E-2</v>
      </c>
    </row>
    <row r="138" spans="1:35" ht="12.75" customHeight="1" x14ac:dyDescent="0.25">
      <c r="A138" s="22" t="s">
        <v>242</v>
      </c>
      <c r="B138" s="236" t="s">
        <v>132</v>
      </c>
      <c r="C138" s="142" t="s">
        <v>232</v>
      </c>
      <c r="D138" s="170" t="s">
        <v>393</v>
      </c>
      <c r="E138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0.66503335173349876</v>
      </c>
      <c r="F138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0.66572581944410814</v>
      </c>
      <c r="G138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0.22642014902727436</v>
      </c>
      <c r="H138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0.1078540315286175</v>
      </c>
      <c r="I138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8.3671522661406164E-2</v>
      </c>
      <c r="J138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5.8681012173993508E-3</v>
      </c>
      <c r="K138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1.831440764981198E-2</v>
      </c>
      <c r="L138" s="18">
        <f>IFERROR(VLOOKUP(Vertailu[[#This Row],[Y-tunnus]],'Suoritepäätös 2020'!$Q:$AC,COLUMN('Suoritepäätös 2020'!L:L),FALSE)-VLOOKUP(Vertailu[[#This Row],[Y-tunnus]],'Suoritepäätös 2020'!$B:$N,COLUMN('Suoritepäätös 2020'!F:F),FALSE),0)</f>
        <v>43892208</v>
      </c>
      <c r="M138" s="18">
        <f>IFERROR(VLOOKUP(Vertailu[[#This Row],[Y-tunnus]],'1.2 Ohjaus-laskentataulu'!A:AY,COLUMN('1.2 Ohjaus-laskentataulu'!Z:Z),FALSE),0)</f>
        <v>46179541</v>
      </c>
      <c r="N138" s="18">
        <f>IFERROR(Vertailu[[#This Row],[Rahoitus pl. hark. kor. 2021 ilman alv, €]]-Vertailu[[#This Row],[Rahoitus pl. hark. kor. 2020 ilman alv, €]],0)</f>
        <v>2287333</v>
      </c>
      <c r="O138" s="43">
        <f>IFERROR(Vertailu[[#This Row],[Muutos, € 1]]/Vertailu[[#This Row],[Rahoitus pl. hark. kor. 2020 ilman alv, €]],0)</f>
        <v>5.2112507076426867E-2</v>
      </c>
      <c r="P138" s="135">
        <f>IFERROR(VLOOKUP(Vertailu[[#This Row],[Y-tunnus]],'Suoritepäätös 2020'!$Q:$AC,COLUMN('Suoritepäätös 2020'!L:L),FALSE),0)</f>
        <v>44032208</v>
      </c>
      <c r="Q138" s="138">
        <f>IFERROR(VLOOKUP(Vertailu[[#This Row],[Y-tunnus]],'1.2 Ohjaus-laskentataulu'!A:AY,COLUMN('1.2 Ohjaus-laskentataulu'!AV:AV),FALSE),0)</f>
        <v>46211541</v>
      </c>
      <c r="R138" s="18">
        <f>IFERROR(Vertailu[[#This Row],[Rahoitus ml. hark. kor. 
2021 ilman alv, €]]-Vertailu[[#This Row],[Rahoitus ml. hark. kor. 
2020 ilman alv, €]],0)</f>
        <v>2179333</v>
      </c>
      <c r="S138" s="16">
        <f>IFERROR(Vertailu[[#This Row],[Muutos, € 2]]/Vertailu[[#This Row],[Rahoitus ml. hark. kor. 
2020 ilman alv, €]],0)</f>
        <v>4.9494065798381039E-2</v>
      </c>
      <c r="T138" s="138">
        <f>IFERROR(VLOOKUP(Vertailu[[#This Row],[Y-tunnus]],'Suoritepäätös 2020'!$Q:$AC,COLUMN('Suoritepäätös 2020'!L:L),FALSE)+VLOOKUP(Vertailu[[#This Row],[Y-tunnus]],'Suoritepäätös 2020'!$Q:$AC,COLUMN('Suoritepäätös 2020'!M:M),FALSE),0)</f>
        <v>44032208</v>
      </c>
      <c r="U138" s="135">
        <f>IFERROR(VLOOKUP(Vertailu[[#This Row],[Y-tunnus]],'1.2 Ohjaus-laskentataulu'!A:AY,COLUMN('1.2 Ohjaus-laskentataulu'!AX:AX),FALSE),0)</f>
        <v>46211541</v>
      </c>
      <c r="V138" s="141">
        <f>IFERROR(Vertailu[[#This Row],[Rahoitus ml. hark. kor. + alv 2021, €]]-Vertailu[[#This Row],[Rahoitus ml. hark. kor. + alv 2020, €]],0)</f>
        <v>2179333</v>
      </c>
      <c r="W138" s="43">
        <f>IFERROR(Vertailu[[#This Row],[Muutos, € 3]]/Vertailu[[#This Row],[Rahoitus ml. hark. kor. + alv 2020, €]],0)</f>
        <v>4.9494065798381039E-2</v>
      </c>
      <c r="X138" s="18">
        <f>IFERROR(VLOOKUP(Vertailu[[#This Row],[Y-tunnus]],'Suoritepäätös 2020'!$B:$N,COLUMN('Suoritepäätös 2020'!G:G),FALSE),0)</f>
        <v>29655717</v>
      </c>
      <c r="Y138" s="18">
        <f>IFERROR(VLOOKUP(Vertailu[[#This Row],[Y-tunnus]],'1.2 Ohjaus-laskentataulu'!A:AY,COLUMN('1.2 Ohjaus-laskentataulu'!AS:AS),FALSE),0)</f>
        <v>30764216</v>
      </c>
      <c r="Z138" s="18">
        <f>Vertailu[[#This Row],[Perusrahoitus 2021, €]]-Vertailu[[#This Row],[Perusrahoitus 2020, €]]</f>
        <v>1108499</v>
      </c>
      <c r="AA138" s="43">
        <f>IFERROR(Vertailu[[#This Row],[Perusrahoituksen muutos, €]]/Vertailu[[#This Row],[Perusrahoitus 2020, €]],0)</f>
        <v>3.7378931016909825E-2</v>
      </c>
      <c r="AB138" s="18">
        <f>IFERROR(VLOOKUP(Vertailu[[#This Row],[Y-tunnus]],'Suoritepäätös 2020'!$B:$N,COLUMN('Suoritepäätös 2020'!M:M),FALSE),0)</f>
        <v>9535363</v>
      </c>
      <c r="AC138" s="18">
        <f>IFERROR(VLOOKUP(Vertailu[[#This Row],[Y-tunnus]],'1.2 Ohjaus-laskentataulu'!A:AY,COLUMN('1.2 Ohjaus-laskentataulu'!O:O),FALSE),0)</f>
        <v>10463224</v>
      </c>
      <c r="AD138" s="18">
        <f>Vertailu[[#This Row],[Suoritusrahoitus 2021, €]]-Vertailu[[#This Row],[Suoritusrahoitus 2020, €]]</f>
        <v>927861</v>
      </c>
      <c r="AE138" s="43">
        <f>IFERROR(Vertailu[[#This Row],[Suoritusrahoituksen muutos, €]]/Vertailu[[#This Row],[Suoritusrahoitus 2020, €]],0)</f>
        <v>9.7307359981995439E-2</v>
      </c>
      <c r="AF138" s="18">
        <f>IFERROR(VLOOKUP(Vertailu[[#This Row],[Y-tunnus]],'Suoritepäätös 2020'!$Q:$AC,COLUMN('Suoritepäätös 2020'!K:K),FALSE),0)</f>
        <v>4841128</v>
      </c>
      <c r="AG138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4984101</v>
      </c>
      <c r="AH138" s="18">
        <f>Vertailu[[#This Row],[Vaikuttavuusrahoitus 2021, €]]-Vertailu[[#This Row],[Vaikuttavuusrahoitus 2020, €]]</f>
        <v>142973</v>
      </c>
      <c r="AI138" s="43">
        <f>IFERROR(Vertailu[[#This Row],[Vaikuttavuusrahoituksen muutos, €]]/Vertailu[[#This Row],[Vaikuttavuusrahoitus 2020, €]],0)</f>
        <v>2.9532993137136636E-2</v>
      </c>
    </row>
    <row r="139" spans="1:35" ht="12.75" customHeight="1" x14ac:dyDescent="0.25">
      <c r="A139" s="22" t="s">
        <v>241</v>
      </c>
      <c r="B139" s="236" t="s">
        <v>134</v>
      </c>
      <c r="C139" s="142" t="s">
        <v>232</v>
      </c>
      <c r="D139" s="170" t="s">
        <v>392</v>
      </c>
      <c r="E139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0.67692391848619626</v>
      </c>
      <c r="F139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0.67692391848619626</v>
      </c>
      <c r="G139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0.20209062980246176</v>
      </c>
      <c r="H139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0.12098545171134198</v>
      </c>
      <c r="I139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8.8240698272972221E-2</v>
      </c>
      <c r="J139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7.5679901181788384E-3</v>
      </c>
      <c r="K139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2.5176763320190924E-2</v>
      </c>
      <c r="L139" s="18">
        <f>IFERROR(VLOOKUP(Vertailu[[#This Row],[Y-tunnus]],'Suoritepäätös 2020'!$Q:$AC,COLUMN('Suoritepäätös 2020'!L:L),FALSE)-VLOOKUP(Vertailu[[#This Row],[Y-tunnus]],'Suoritepäätös 2020'!$B:$N,COLUMN('Suoritepäätös 2020'!F:F),FALSE),0)</f>
        <v>2187172</v>
      </c>
      <c r="M139" s="18">
        <f>IFERROR(VLOOKUP(Vertailu[[#This Row],[Y-tunnus]],'1.2 Ohjaus-laskentataulu'!A:AY,COLUMN('1.2 Ohjaus-laskentataulu'!Z:Z),FALSE),0)</f>
        <v>2138877</v>
      </c>
      <c r="N139" s="18">
        <f>IFERROR(Vertailu[[#This Row],[Rahoitus pl. hark. kor. 2021 ilman alv, €]]-Vertailu[[#This Row],[Rahoitus pl. hark. kor. 2020 ilman alv, €]],0)</f>
        <v>-48295</v>
      </c>
      <c r="O139" s="43">
        <f>IFERROR(Vertailu[[#This Row],[Muutos, € 1]]/Vertailu[[#This Row],[Rahoitus pl. hark. kor. 2020 ilman alv, €]],0)</f>
        <v>-2.2081025177718077E-2</v>
      </c>
      <c r="P139" s="135">
        <f>IFERROR(VLOOKUP(Vertailu[[#This Row],[Y-tunnus]],'Suoritepäätös 2020'!$Q:$AC,COLUMN('Suoritepäätös 2020'!L:L),FALSE),0)</f>
        <v>2197172</v>
      </c>
      <c r="Q139" s="138">
        <f>IFERROR(VLOOKUP(Vertailu[[#This Row],[Y-tunnus]],'1.2 Ohjaus-laskentataulu'!A:AY,COLUMN('1.2 Ohjaus-laskentataulu'!AV:AV),FALSE),0)</f>
        <v>2138877</v>
      </c>
      <c r="R139" s="18">
        <f>IFERROR(Vertailu[[#This Row],[Rahoitus ml. hark. kor. 
2021 ilman alv, €]]-Vertailu[[#This Row],[Rahoitus ml. hark. kor. 
2020 ilman alv, €]],0)</f>
        <v>-58295</v>
      </c>
      <c r="S139" s="16">
        <f>IFERROR(Vertailu[[#This Row],[Muutos, € 2]]/Vertailu[[#This Row],[Rahoitus ml. hark. kor. 
2020 ilman alv, €]],0)</f>
        <v>-2.6531832737719214E-2</v>
      </c>
      <c r="T139" s="138">
        <f>IFERROR(VLOOKUP(Vertailu[[#This Row],[Y-tunnus]],'Suoritepäätös 2020'!$Q:$AC,COLUMN('Suoritepäätös 2020'!L:L),FALSE)+VLOOKUP(Vertailu[[#This Row],[Y-tunnus]],'Suoritepäätös 2020'!$Q:$AC,COLUMN('Suoritepäätös 2020'!M:M),FALSE),0)</f>
        <v>2316002</v>
      </c>
      <c r="U139" s="135">
        <f>IFERROR(VLOOKUP(Vertailu[[#This Row],[Y-tunnus]],'1.2 Ohjaus-laskentataulu'!A:AY,COLUMN('1.2 Ohjaus-laskentataulu'!AX:AX),FALSE),0)</f>
        <v>2253680</v>
      </c>
      <c r="V139" s="141">
        <f>IFERROR(Vertailu[[#This Row],[Rahoitus ml. hark. kor. + alv 2021, €]]-Vertailu[[#This Row],[Rahoitus ml. hark. kor. + alv 2020, €]],0)</f>
        <v>-62322</v>
      </c>
      <c r="W139" s="43">
        <f>IFERROR(Vertailu[[#This Row],[Muutos, € 3]]/Vertailu[[#This Row],[Rahoitus ml. hark. kor. + alv 2020, €]],0)</f>
        <v>-2.6909303187130234E-2</v>
      </c>
      <c r="X139" s="18">
        <f>IFERROR(VLOOKUP(Vertailu[[#This Row],[Y-tunnus]],'Suoritepäätös 2020'!$B:$N,COLUMN('Suoritepäätös 2020'!G:G),FALSE),0)</f>
        <v>1408737</v>
      </c>
      <c r="Y139" s="18">
        <f>IFERROR(VLOOKUP(Vertailu[[#This Row],[Y-tunnus]],'1.2 Ohjaus-laskentataulu'!A:AY,COLUMN('1.2 Ohjaus-laskentataulu'!AS:AS),FALSE),0)</f>
        <v>1447857</v>
      </c>
      <c r="Z139" s="18">
        <f>Vertailu[[#This Row],[Perusrahoitus 2021, €]]-Vertailu[[#This Row],[Perusrahoitus 2020, €]]</f>
        <v>39120</v>
      </c>
      <c r="AA139" s="43">
        <f>IFERROR(Vertailu[[#This Row],[Perusrahoituksen muutos, €]]/Vertailu[[#This Row],[Perusrahoitus 2020, €]],0)</f>
        <v>2.7769555282497728E-2</v>
      </c>
      <c r="AB139" s="18">
        <f>IFERROR(VLOOKUP(Vertailu[[#This Row],[Y-tunnus]],'Suoritepäätös 2020'!$B:$N,COLUMN('Suoritepäätös 2020'!M:M),FALSE),0)</f>
        <v>497057</v>
      </c>
      <c r="AC139" s="18">
        <f>IFERROR(VLOOKUP(Vertailu[[#This Row],[Y-tunnus]],'1.2 Ohjaus-laskentataulu'!A:AY,COLUMN('1.2 Ohjaus-laskentataulu'!O:O),FALSE),0)</f>
        <v>432247</v>
      </c>
      <c r="AD139" s="18">
        <f>Vertailu[[#This Row],[Suoritusrahoitus 2021, €]]-Vertailu[[#This Row],[Suoritusrahoitus 2020, €]]</f>
        <v>-64810</v>
      </c>
      <c r="AE139" s="43">
        <f>IFERROR(Vertailu[[#This Row],[Suoritusrahoituksen muutos, €]]/Vertailu[[#This Row],[Suoritusrahoitus 2020, €]],0)</f>
        <v>-0.1303874605930507</v>
      </c>
      <c r="AF139" s="18">
        <f>IFERROR(VLOOKUP(Vertailu[[#This Row],[Y-tunnus]],'Suoritepäätös 2020'!$Q:$AC,COLUMN('Suoritepäätös 2020'!K:K),FALSE),0)</f>
        <v>291378</v>
      </c>
      <c r="AG139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258773</v>
      </c>
      <c r="AH139" s="18">
        <f>Vertailu[[#This Row],[Vaikuttavuusrahoitus 2021, €]]-Vertailu[[#This Row],[Vaikuttavuusrahoitus 2020, €]]</f>
        <v>-32605</v>
      </c>
      <c r="AI139" s="43">
        <f>IFERROR(Vertailu[[#This Row],[Vaikuttavuusrahoituksen muutos, €]]/Vertailu[[#This Row],[Vaikuttavuusrahoitus 2020, €]],0)</f>
        <v>-0.11189931978392328</v>
      </c>
    </row>
    <row r="140" spans="1:35" ht="12.75" customHeight="1" x14ac:dyDescent="0.25">
      <c r="A140" s="22" t="s">
        <v>446</v>
      </c>
      <c r="B140" s="236" t="s">
        <v>447</v>
      </c>
      <c r="C140" s="142" t="s">
        <v>232</v>
      </c>
      <c r="D140" s="170" t="s">
        <v>392</v>
      </c>
      <c r="E140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0.59657150428617789</v>
      </c>
      <c r="F140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0.59657150428617789</v>
      </c>
      <c r="G140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0.29691868618746037</v>
      </c>
      <c r="H140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0.1065098095263617</v>
      </c>
      <c r="I140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8.028879221788493E-2</v>
      </c>
      <c r="J140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4.3055319833138301E-3</v>
      </c>
      <c r="K140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2.1915485325162947E-2</v>
      </c>
      <c r="L140" s="18">
        <f>IFERROR(VLOOKUP(Vertailu[[#This Row],[Y-tunnus]],'Suoritepäätös 2020'!$Q:$AC,COLUMN('Suoritepäätös 2020'!L:L),FALSE)-VLOOKUP(Vertailu[[#This Row],[Y-tunnus]],'Suoritepäätös 2020'!$B:$N,COLUMN('Suoritepäätös 2020'!F:F),FALSE),0)</f>
        <v>1197457</v>
      </c>
      <c r="M140" s="18">
        <f>IFERROR(VLOOKUP(Vertailu[[#This Row],[Y-tunnus]],'1.2 Ohjaus-laskentataulu'!A:AY,COLUMN('1.2 Ohjaus-laskentataulu'!Z:Z),FALSE),0)</f>
        <v>1343388</v>
      </c>
      <c r="N140" s="18">
        <f>IFERROR(Vertailu[[#This Row],[Rahoitus pl. hark. kor. 2021 ilman alv, €]]-Vertailu[[#This Row],[Rahoitus pl. hark. kor. 2020 ilman alv, €]],0)</f>
        <v>145931</v>
      </c>
      <c r="O140" s="43">
        <f>IFERROR(Vertailu[[#This Row],[Muutos, € 1]]/Vertailu[[#This Row],[Rahoitus pl. hark. kor. 2020 ilman alv, €]],0)</f>
        <v>0.12186742404946482</v>
      </c>
      <c r="P140" s="135">
        <f>IFERROR(VLOOKUP(Vertailu[[#This Row],[Y-tunnus]],'Suoritepäätös 2020'!$Q:$AC,COLUMN('Suoritepäätös 2020'!L:L),FALSE),0)</f>
        <v>1207457</v>
      </c>
      <c r="Q140" s="138">
        <f>IFERROR(VLOOKUP(Vertailu[[#This Row],[Y-tunnus]],'1.2 Ohjaus-laskentataulu'!A:AY,COLUMN('1.2 Ohjaus-laskentataulu'!AV:AV),FALSE),0)</f>
        <v>1343388</v>
      </c>
      <c r="R140" s="18">
        <f>IFERROR(Vertailu[[#This Row],[Rahoitus ml. hark. kor. 
2021 ilman alv, €]]-Vertailu[[#This Row],[Rahoitus ml. hark. kor. 
2020 ilman alv, €]],0)</f>
        <v>135931</v>
      </c>
      <c r="S140" s="16">
        <f>IFERROR(Vertailu[[#This Row],[Muutos, € 2]]/Vertailu[[#This Row],[Rahoitus ml. hark. kor. 
2020 ilman alv, €]],0)</f>
        <v>0.11257626565583702</v>
      </c>
      <c r="T140" s="138">
        <f>IFERROR(VLOOKUP(Vertailu[[#This Row],[Y-tunnus]],'Suoritepäätös 2020'!$Q:$AC,COLUMN('Suoritepäätös 2020'!L:L),FALSE)+VLOOKUP(Vertailu[[#This Row],[Y-tunnus]],'Suoritepäätös 2020'!$Q:$AC,COLUMN('Suoritepäätös 2020'!M:M),FALSE),0)</f>
        <v>1232927</v>
      </c>
      <c r="U140" s="135">
        <f>IFERROR(VLOOKUP(Vertailu[[#This Row],[Y-tunnus]],'1.2 Ohjaus-laskentataulu'!A:AY,COLUMN('1.2 Ohjaus-laskentataulu'!AX:AX),FALSE),0)</f>
        <v>1367907</v>
      </c>
      <c r="V140" s="141">
        <f>IFERROR(Vertailu[[#This Row],[Rahoitus ml. hark. kor. + alv 2021, €]]-Vertailu[[#This Row],[Rahoitus ml. hark. kor. + alv 2020, €]],0)</f>
        <v>134980</v>
      </c>
      <c r="W140" s="43">
        <f>IFERROR(Vertailu[[#This Row],[Muutos, € 3]]/Vertailu[[#This Row],[Rahoitus ml. hark. kor. + alv 2020, €]],0)</f>
        <v>0.10947931223827526</v>
      </c>
      <c r="X140" s="18">
        <f>IFERROR(VLOOKUP(Vertailu[[#This Row],[Y-tunnus]],'Suoritepäätös 2020'!$B:$N,COLUMN('Suoritepäätös 2020'!G:G),FALSE),0)</f>
        <v>792585</v>
      </c>
      <c r="Y140" s="18">
        <f>IFERROR(VLOOKUP(Vertailu[[#This Row],[Y-tunnus]],'1.2 Ohjaus-laskentataulu'!A:AY,COLUMN('1.2 Ohjaus-laskentataulu'!AS:AS),FALSE),0)</f>
        <v>801427</v>
      </c>
      <c r="Z140" s="18">
        <f>Vertailu[[#This Row],[Perusrahoitus 2021, €]]-Vertailu[[#This Row],[Perusrahoitus 2020, €]]</f>
        <v>8842</v>
      </c>
      <c r="AA140" s="43">
        <f>IFERROR(Vertailu[[#This Row],[Perusrahoituksen muutos, €]]/Vertailu[[#This Row],[Perusrahoitus 2020, €]],0)</f>
        <v>1.1155901259801787E-2</v>
      </c>
      <c r="AB140" s="18">
        <f>IFERROR(VLOOKUP(Vertailu[[#This Row],[Y-tunnus]],'Suoritepäätös 2020'!$B:$N,COLUMN('Suoritepäätös 2020'!M:M),FALSE),0)</f>
        <v>329369</v>
      </c>
      <c r="AC140" s="18">
        <f>IFERROR(VLOOKUP(Vertailu[[#This Row],[Y-tunnus]],'1.2 Ohjaus-laskentataulu'!A:AY,COLUMN('1.2 Ohjaus-laskentataulu'!O:O),FALSE),0)</f>
        <v>398877</v>
      </c>
      <c r="AD140" s="18">
        <f>Vertailu[[#This Row],[Suoritusrahoitus 2021, €]]-Vertailu[[#This Row],[Suoritusrahoitus 2020, €]]</f>
        <v>69508</v>
      </c>
      <c r="AE140" s="43">
        <f>IFERROR(Vertailu[[#This Row],[Suoritusrahoituksen muutos, €]]/Vertailu[[#This Row],[Suoritusrahoitus 2020, €]],0)</f>
        <v>0.21103382528410386</v>
      </c>
      <c r="AF140" s="18">
        <f>IFERROR(VLOOKUP(Vertailu[[#This Row],[Y-tunnus]],'Suoritepäätös 2020'!$Q:$AC,COLUMN('Suoritepäätös 2020'!K:K),FALSE),0)</f>
        <v>85503</v>
      </c>
      <c r="AG140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143084</v>
      </c>
      <c r="AH140" s="18">
        <f>Vertailu[[#This Row],[Vaikuttavuusrahoitus 2021, €]]-Vertailu[[#This Row],[Vaikuttavuusrahoitus 2020, €]]</f>
        <v>57581</v>
      </c>
      <c r="AI140" s="43">
        <f>IFERROR(Vertailu[[#This Row],[Vaikuttavuusrahoituksen muutos, €]]/Vertailu[[#This Row],[Vaikuttavuusrahoitus 2020, €]],0)</f>
        <v>0.67343835888799219</v>
      </c>
    </row>
    <row r="141" spans="1:35" ht="12.75" customHeight="1" x14ac:dyDescent="0.25">
      <c r="A141" s="22" t="s">
        <v>308</v>
      </c>
      <c r="B141" s="236" t="s">
        <v>149</v>
      </c>
      <c r="C141" s="142" t="s">
        <v>232</v>
      </c>
      <c r="D141" s="170" t="s">
        <v>392</v>
      </c>
      <c r="E141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0.49179761699188396</v>
      </c>
      <c r="F141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0.49179761699188396</v>
      </c>
      <c r="G141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0.25160481406680529</v>
      </c>
      <c r="H141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0.25659756894131075</v>
      </c>
      <c r="I141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0.16647646648097122</v>
      </c>
      <c r="J141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1.3683151516971612E-2</v>
      </c>
      <c r="K141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7.6437950943367888E-2</v>
      </c>
      <c r="L141" s="18">
        <f>IFERROR(VLOOKUP(Vertailu[[#This Row],[Y-tunnus]],'Suoritepäätös 2020'!$Q:$AC,COLUMN('Suoritepäätös 2020'!L:L),FALSE)-VLOOKUP(Vertailu[[#This Row],[Y-tunnus]],'Suoritepäätös 2020'!$B:$N,COLUMN('Suoritepäätös 2020'!F:F),FALSE),0)</f>
        <v>208555</v>
      </c>
      <c r="M141" s="18">
        <f>IFERROR(VLOOKUP(Vertailu[[#This Row],[Y-tunnus]],'1.2 Ohjaus-laskentataulu'!A:AY,COLUMN('1.2 Ohjaus-laskentataulu'!Z:Z),FALSE),0)</f>
        <v>266386</v>
      </c>
      <c r="N141" s="18">
        <f>IFERROR(Vertailu[[#This Row],[Rahoitus pl. hark. kor. 2021 ilman alv, €]]-Vertailu[[#This Row],[Rahoitus pl. hark. kor. 2020 ilman alv, €]],0)</f>
        <v>57831</v>
      </c>
      <c r="O141" s="43">
        <f>IFERROR(Vertailu[[#This Row],[Muutos, € 1]]/Vertailu[[#This Row],[Rahoitus pl. hark. kor. 2020 ilman alv, €]],0)</f>
        <v>0.27729375943995588</v>
      </c>
      <c r="P141" s="135">
        <f>IFERROR(VLOOKUP(Vertailu[[#This Row],[Y-tunnus]],'Suoritepäätös 2020'!$Q:$AC,COLUMN('Suoritepäätös 2020'!L:L),FALSE),0)</f>
        <v>208555</v>
      </c>
      <c r="Q141" s="138">
        <f>IFERROR(VLOOKUP(Vertailu[[#This Row],[Y-tunnus]],'1.2 Ohjaus-laskentataulu'!A:AY,COLUMN('1.2 Ohjaus-laskentataulu'!AV:AV),FALSE),0)</f>
        <v>266386</v>
      </c>
      <c r="R141" s="18">
        <f>IFERROR(Vertailu[[#This Row],[Rahoitus ml. hark. kor. 
2021 ilman alv, €]]-Vertailu[[#This Row],[Rahoitus ml. hark. kor. 
2020 ilman alv, €]],0)</f>
        <v>57831</v>
      </c>
      <c r="S141" s="16">
        <f>IFERROR(Vertailu[[#This Row],[Muutos, € 2]]/Vertailu[[#This Row],[Rahoitus ml. hark. kor. 
2020 ilman alv, €]],0)</f>
        <v>0.27729375943995588</v>
      </c>
      <c r="T141" s="138">
        <f>IFERROR(VLOOKUP(Vertailu[[#This Row],[Y-tunnus]],'Suoritepäätös 2020'!$Q:$AC,COLUMN('Suoritepäätös 2020'!L:L),FALSE)+VLOOKUP(Vertailu[[#This Row],[Y-tunnus]],'Suoritepäätös 2020'!$Q:$AC,COLUMN('Suoritepäätös 2020'!M:M),FALSE),0)</f>
        <v>221238</v>
      </c>
      <c r="U141" s="135">
        <f>IFERROR(VLOOKUP(Vertailu[[#This Row],[Y-tunnus]],'1.2 Ohjaus-laskentataulu'!A:AY,COLUMN('1.2 Ohjaus-laskentataulu'!AX:AX),FALSE),0)</f>
        <v>276577</v>
      </c>
      <c r="V141" s="141">
        <f>IFERROR(Vertailu[[#This Row],[Rahoitus ml. hark. kor. + alv 2021, €]]-Vertailu[[#This Row],[Rahoitus ml. hark. kor. + alv 2020, €]],0)</f>
        <v>55339</v>
      </c>
      <c r="W141" s="43">
        <f>IFERROR(Vertailu[[#This Row],[Muutos, € 3]]/Vertailu[[#This Row],[Rahoitus ml. hark. kor. + alv 2020, €]],0)</f>
        <v>0.25013334056536402</v>
      </c>
      <c r="X141" s="18">
        <f>IFERROR(VLOOKUP(Vertailu[[#This Row],[Y-tunnus]],'Suoritepäätös 2020'!$B:$N,COLUMN('Suoritepäätös 2020'!G:G),FALSE),0)</f>
        <v>125709</v>
      </c>
      <c r="Y141" s="18">
        <f>IFERROR(VLOOKUP(Vertailu[[#This Row],[Y-tunnus]],'1.2 Ohjaus-laskentataulu'!A:AY,COLUMN('1.2 Ohjaus-laskentataulu'!AS:AS),FALSE),0)</f>
        <v>131008</v>
      </c>
      <c r="Z141" s="18">
        <f>Vertailu[[#This Row],[Perusrahoitus 2021, €]]-Vertailu[[#This Row],[Perusrahoitus 2020, €]]</f>
        <v>5299</v>
      </c>
      <c r="AA141" s="43">
        <f>IFERROR(Vertailu[[#This Row],[Perusrahoituksen muutos, €]]/Vertailu[[#This Row],[Perusrahoitus 2020, €]],0)</f>
        <v>4.2152908701843149E-2</v>
      </c>
      <c r="AB141" s="18">
        <f>IFERROR(VLOOKUP(Vertailu[[#This Row],[Y-tunnus]],'Suoritepäätös 2020'!$B:$N,COLUMN('Suoritepäätös 2020'!M:M),FALSE),0)</f>
        <v>72560</v>
      </c>
      <c r="AC141" s="18">
        <f>IFERROR(VLOOKUP(Vertailu[[#This Row],[Y-tunnus]],'1.2 Ohjaus-laskentataulu'!A:AY,COLUMN('1.2 Ohjaus-laskentataulu'!O:O),FALSE),0)</f>
        <v>67024</v>
      </c>
      <c r="AD141" s="18">
        <f>Vertailu[[#This Row],[Suoritusrahoitus 2021, €]]-Vertailu[[#This Row],[Suoritusrahoitus 2020, €]]</f>
        <v>-5536</v>
      </c>
      <c r="AE141" s="43">
        <f>IFERROR(Vertailu[[#This Row],[Suoritusrahoituksen muutos, €]]/Vertailu[[#This Row],[Suoritusrahoitus 2020, €]],0)</f>
        <v>-7.6295479603087094E-2</v>
      </c>
      <c r="AF141" s="18">
        <f>IFERROR(VLOOKUP(Vertailu[[#This Row],[Y-tunnus]],'Suoritepäätös 2020'!$Q:$AC,COLUMN('Suoritepäätös 2020'!K:K),FALSE),0)</f>
        <v>10286</v>
      </c>
      <c r="AG141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68354</v>
      </c>
      <c r="AH141" s="18">
        <f>Vertailu[[#This Row],[Vaikuttavuusrahoitus 2021, €]]-Vertailu[[#This Row],[Vaikuttavuusrahoitus 2020, €]]</f>
        <v>58068</v>
      </c>
      <c r="AI141" s="43">
        <f>IFERROR(Vertailu[[#This Row],[Vaikuttavuusrahoituksen muutos, €]]/Vertailu[[#This Row],[Vaikuttavuusrahoitus 2020, €]],0)</f>
        <v>5.6453431849115301</v>
      </c>
    </row>
    <row r="142" spans="1:35" ht="12.75" customHeight="1" x14ac:dyDescent="0.25">
      <c r="A142" s="22" t="s">
        <v>240</v>
      </c>
      <c r="B142" s="236" t="s">
        <v>135</v>
      </c>
      <c r="C142" s="142" t="s">
        <v>216</v>
      </c>
      <c r="D142" s="170" t="s">
        <v>392</v>
      </c>
      <c r="E142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0.64657422825401711</v>
      </c>
      <c r="F142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0.65420002926981369</v>
      </c>
      <c r="G142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0.26842070257764672</v>
      </c>
      <c r="H142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7.7379268152539621E-2</v>
      </c>
      <c r="I142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5.8025515664953599E-2</v>
      </c>
      <c r="J142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7.7806379320737411E-3</v>
      </c>
      <c r="K142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1.1573114555512284E-2</v>
      </c>
      <c r="L142" s="18">
        <f>IFERROR(VLOOKUP(Vertailu[[#This Row],[Y-tunnus]],'Suoritepäätös 2020'!$Q:$AC,COLUMN('Suoritepäätös 2020'!L:L),FALSE)-VLOOKUP(Vertailu[[#This Row],[Y-tunnus]],'Suoritepäätös 2020'!$B:$N,COLUMN('Suoritepäätös 2020'!F:F),FALSE),0)</f>
        <v>13718467</v>
      </c>
      <c r="M142" s="18">
        <f>IFERROR(VLOOKUP(Vertailu[[#This Row],[Y-tunnus]],'1.2 Ohjaus-laskentataulu'!A:AY,COLUMN('1.2 Ohjaus-laskentataulu'!Z:Z),FALSE),0)</f>
        <v>14965383</v>
      </c>
      <c r="N142" s="18">
        <f>IFERROR(Vertailu[[#This Row],[Rahoitus pl. hark. kor. 2021 ilman alv, €]]-Vertailu[[#This Row],[Rahoitus pl. hark. kor. 2020 ilman alv, €]],0)</f>
        <v>1246916</v>
      </c>
      <c r="O142" s="43">
        <f>IFERROR(Vertailu[[#This Row],[Muutos, € 1]]/Vertailu[[#This Row],[Rahoitus pl. hark. kor. 2020 ilman alv, €]],0)</f>
        <v>9.0893246308060519E-2</v>
      </c>
      <c r="P142" s="135">
        <f>IFERROR(VLOOKUP(Vertailu[[#This Row],[Y-tunnus]],'Suoritepäätös 2020'!$Q:$AC,COLUMN('Suoritepäätös 2020'!L:L),FALSE),0)</f>
        <v>13888467</v>
      </c>
      <c r="Q142" s="138">
        <f>IFERROR(VLOOKUP(Vertailu[[#This Row],[Y-tunnus]],'1.2 Ohjaus-laskentataulu'!A:AY,COLUMN('1.2 Ohjaus-laskentataulu'!AV:AV),FALSE),0)</f>
        <v>15080383</v>
      </c>
      <c r="R142" s="18">
        <f>IFERROR(Vertailu[[#This Row],[Rahoitus ml. hark. kor. 
2021 ilman alv, €]]-Vertailu[[#This Row],[Rahoitus ml. hark. kor. 
2020 ilman alv, €]],0)</f>
        <v>1191916</v>
      </c>
      <c r="S142" s="16">
        <f>IFERROR(Vertailu[[#This Row],[Muutos, € 2]]/Vertailu[[#This Row],[Rahoitus ml. hark. kor. 
2020 ilman alv, €]],0)</f>
        <v>8.5820558885296702E-2</v>
      </c>
      <c r="T142" s="138">
        <f>IFERROR(VLOOKUP(Vertailu[[#This Row],[Y-tunnus]],'Suoritepäätös 2020'!$Q:$AC,COLUMN('Suoritepäätös 2020'!L:L),FALSE)+VLOOKUP(Vertailu[[#This Row],[Y-tunnus]],'Suoritepäätös 2020'!$Q:$AC,COLUMN('Suoritepäätös 2020'!M:M),FALSE),0)</f>
        <v>14858318</v>
      </c>
      <c r="U142" s="135">
        <f>IFERROR(VLOOKUP(Vertailu[[#This Row],[Y-tunnus]],'1.2 Ohjaus-laskentataulu'!A:AY,COLUMN('1.2 Ohjaus-laskentataulu'!AX:AX),FALSE),0)</f>
        <v>16203764</v>
      </c>
      <c r="V142" s="141">
        <f>IFERROR(Vertailu[[#This Row],[Rahoitus ml. hark. kor. + alv 2021, €]]-Vertailu[[#This Row],[Rahoitus ml. hark. kor. + alv 2020, €]],0)</f>
        <v>1345446</v>
      </c>
      <c r="W142" s="43">
        <f>IFERROR(Vertailu[[#This Row],[Muutos, € 3]]/Vertailu[[#This Row],[Rahoitus ml. hark. kor. + alv 2020, €]],0)</f>
        <v>9.0551703093176492E-2</v>
      </c>
      <c r="X142" s="18">
        <f>IFERROR(VLOOKUP(Vertailu[[#This Row],[Y-tunnus]],'Suoritepäätös 2020'!$B:$N,COLUMN('Suoritepäätös 2020'!G:G),FALSE),0)</f>
        <v>9284219</v>
      </c>
      <c r="Y142" s="18">
        <f>IFERROR(VLOOKUP(Vertailu[[#This Row],[Y-tunnus]],'1.2 Ohjaus-laskentataulu'!A:AY,COLUMN('1.2 Ohjaus-laskentataulu'!AS:AS),FALSE),0)</f>
        <v>9865587</v>
      </c>
      <c r="Z142" s="18">
        <f>Vertailu[[#This Row],[Perusrahoitus 2021, €]]-Vertailu[[#This Row],[Perusrahoitus 2020, €]]</f>
        <v>581368</v>
      </c>
      <c r="AA142" s="43">
        <f>IFERROR(Vertailu[[#This Row],[Perusrahoituksen muutos, €]]/Vertailu[[#This Row],[Perusrahoitus 2020, €]],0)</f>
        <v>6.2618945115361882E-2</v>
      </c>
      <c r="AB142" s="18">
        <f>IFERROR(VLOOKUP(Vertailu[[#This Row],[Y-tunnus]],'Suoritepäätös 2020'!$B:$N,COLUMN('Suoritepäätös 2020'!M:M),FALSE),0)</f>
        <v>3387917</v>
      </c>
      <c r="AC142" s="18">
        <f>IFERROR(VLOOKUP(Vertailu[[#This Row],[Y-tunnus]],'1.2 Ohjaus-laskentataulu'!A:AY,COLUMN('1.2 Ohjaus-laskentataulu'!O:O),FALSE),0)</f>
        <v>4047887</v>
      </c>
      <c r="AD142" s="18">
        <f>Vertailu[[#This Row],[Suoritusrahoitus 2021, €]]-Vertailu[[#This Row],[Suoritusrahoitus 2020, €]]</f>
        <v>659970</v>
      </c>
      <c r="AE142" s="43">
        <f>IFERROR(Vertailu[[#This Row],[Suoritusrahoituksen muutos, €]]/Vertailu[[#This Row],[Suoritusrahoitus 2020, €]],0)</f>
        <v>0.19480111230587999</v>
      </c>
      <c r="AF142" s="18">
        <f>IFERROR(VLOOKUP(Vertailu[[#This Row],[Y-tunnus]],'Suoritepäätös 2020'!$Q:$AC,COLUMN('Suoritepäätös 2020'!K:K),FALSE),0)</f>
        <v>1216331</v>
      </c>
      <c r="AG142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1166909</v>
      </c>
      <c r="AH142" s="18">
        <f>Vertailu[[#This Row],[Vaikuttavuusrahoitus 2021, €]]-Vertailu[[#This Row],[Vaikuttavuusrahoitus 2020, €]]</f>
        <v>-49422</v>
      </c>
      <c r="AI142" s="43">
        <f>IFERROR(Vertailu[[#This Row],[Vaikuttavuusrahoituksen muutos, €]]/Vertailu[[#This Row],[Vaikuttavuusrahoitus 2020, €]],0)</f>
        <v>-4.0632031905788804E-2</v>
      </c>
    </row>
    <row r="143" spans="1:35" ht="12.75" customHeight="1" x14ac:dyDescent="0.25">
      <c r="A143" s="22" t="s">
        <v>239</v>
      </c>
      <c r="B143" s="236" t="s">
        <v>184</v>
      </c>
      <c r="C143" s="142" t="s">
        <v>216</v>
      </c>
      <c r="D143" s="170" t="s">
        <v>392</v>
      </c>
      <c r="E143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</v>
      </c>
      <c r="F143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</v>
      </c>
      <c r="G143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</v>
      </c>
      <c r="H143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</v>
      </c>
      <c r="I143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</v>
      </c>
      <c r="J143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0</v>
      </c>
      <c r="K143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0</v>
      </c>
      <c r="L143" s="18">
        <f>IFERROR(VLOOKUP(Vertailu[[#This Row],[Y-tunnus]],'Suoritepäätös 2020'!$Q:$AC,COLUMN('Suoritepäätös 2020'!L:L),FALSE)-VLOOKUP(Vertailu[[#This Row],[Y-tunnus]],'Suoritepäätös 2020'!$B:$N,COLUMN('Suoritepäätös 2020'!F:F),FALSE),0)</f>
        <v>25378</v>
      </c>
      <c r="M143" s="18">
        <f>IFERROR(VLOOKUP(Vertailu[[#This Row],[Y-tunnus]],'1.2 Ohjaus-laskentataulu'!A:AY,COLUMN('1.2 Ohjaus-laskentataulu'!Z:Z),FALSE),0)</f>
        <v>0</v>
      </c>
      <c r="N143" s="18">
        <f>IFERROR(Vertailu[[#This Row],[Rahoitus pl. hark. kor. 2021 ilman alv, €]]-Vertailu[[#This Row],[Rahoitus pl. hark. kor. 2020 ilman alv, €]],0)</f>
        <v>-25378</v>
      </c>
      <c r="O143" s="43">
        <f>IFERROR(Vertailu[[#This Row],[Muutos, € 1]]/Vertailu[[#This Row],[Rahoitus pl. hark. kor. 2020 ilman alv, €]],0)</f>
        <v>-1</v>
      </c>
      <c r="P143" s="135">
        <f>IFERROR(VLOOKUP(Vertailu[[#This Row],[Y-tunnus]],'Suoritepäätös 2020'!$Q:$AC,COLUMN('Suoritepäätös 2020'!L:L),FALSE),0)</f>
        <v>25378</v>
      </c>
      <c r="Q143" s="138">
        <f>IFERROR(VLOOKUP(Vertailu[[#This Row],[Y-tunnus]],'1.2 Ohjaus-laskentataulu'!A:AY,COLUMN('1.2 Ohjaus-laskentataulu'!AV:AV),FALSE),0)</f>
        <v>0</v>
      </c>
      <c r="R143" s="18">
        <f>IFERROR(Vertailu[[#This Row],[Rahoitus ml. hark. kor. 
2021 ilman alv, €]]-Vertailu[[#This Row],[Rahoitus ml. hark. kor. 
2020 ilman alv, €]],0)</f>
        <v>-25378</v>
      </c>
      <c r="S143" s="16">
        <f>IFERROR(Vertailu[[#This Row],[Muutos, € 2]]/Vertailu[[#This Row],[Rahoitus ml. hark. kor. 
2020 ilman alv, €]],0)</f>
        <v>-1</v>
      </c>
      <c r="T143" s="138">
        <f>IFERROR(VLOOKUP(Vertailu[[#This Row],[Y-tunnus]],'Suoritepäätös 2020'!$Q:$AC,COLUMN('Suoritepäätös 2020'!L:L),FALSE)+VLOOKUP(Vertailu[[#This Row],[Y-tunnus]],'Suoritepäätös 2020'!$Q:$AC,COLUMN('Suoritepäätös 2020'!M:M),FALSE),0)</f>
        <v>25378</v>
      </c>
      <c r="U143" s="135">
        <f>IFERROR(VLOOKUP(Vertailu[[#This Row],[Y-tunnus]],'1.2 Ohjaus-laskentataulu'!A:AY,COLUMN('1.2 Ohjaus-laskentataulu'!AX:AX),FALSE),0)</f>
        <v>0</v>
      </c>
      <c r="V143" s="141">
        <f>IFERROR(Vertailu[[#This Row],[Rahoitus ml. hark. kor. + alv 2021, €]]-Vertailu[[#This Row],[Rahoitus ml. hark. kor. + alv 2020, €]],0)</f>
        <v>-25378</v>
      </c>
      <c r="W143" s="43">
        <f>IFERROR(Vertailu[[#This Row],[Muutos, € 3]]/Vertailu[[#This Row],[Rahoitus ml. hark. kor. + alv 2020, €]],0)</f>
        <v>-1</v>
      </c>
      <c r="X143" s="18">
        <f>IFERROR(VLOOKUP(Vertailu[[#This Row],[Y-tunnus]],'Suoritepäätös 2020'!$B:$N,COLUMN('Suoritepäätös 2020'!G:G),FALSE),0)</f>
        <v>25378</v>
      </c>
      <c r="Y143" s="18">
        <f>IFERROR(VLOOKUP(Vertailu[[#This Row],[Y-tunnus]],'1.2 Ohjaus-laskentataulu'!A:AY,COLUMN('1.2 Ohjaus-laskentataulu'!AS:AS),FALSE),0)</f>
        <v>0</v>
      </c>
      <c r="Z143" s="18">
        <f>Vertailu[[#This Row],[Perusrahoitus 2021, €]]-Vertailu[[#This Row],[Perusrahoitus 2020, €]]</f>
        <v>-25378</v>
      </c>
      <c r="AA143" s="43">
        <f>IFERROR(Vertailu[[#This Row],[Perusrahoituksen muutos, €]]/Vertailu[[#This Row],[Perusrahoitus 2020, €]],0)</f>
        <v>-1</v>
      </c>
      <c r="AB143" s="18">
        <f>IFERROR(VLOOKUP(Vertailu[[#This Row],[Y-tunnus]],'Suoritepäätös 2020'!$B:$N,COLUMN('Suoritepäätös 2020'!M:M),FALSE),0)</f>
        <v>0</v>
      </c>
      <c r="AC143" s="18">
        <f>IFERROR(VLOOKUP(Vertailu[[#This Row],[Y-tunnus]],'1.2 Ohjaus-laskentataulu'!A:AY,COLUMN('1.2 Ohjaus-laskentataulu'!O:O),FALSE),0)</f>
        <v>0</v>
      </c>
      <c r="AD143" s="18">
        <f>Vertailu[[#This Row],[Suoritusrahoitus 2021, €]]-Vertailu[[#This Row],[Suoritusrahoitus 2020, €]]</f>
        <v>0</v>
      </c>
      <c r="AE143" s="43">
        <f>IFERROR(Vertailu[[#This Row],[Suoritusrahoituksen muutos, €]]/Vertailu[[#This Row],[Suoritusrahoitus 2020, €]],0)</f>
        <v>0</v>
      </c>
      <c r="AF143" s="18">
        <f>IFERROR(VLOOKUP(Vertailu[[#This Row],[Y-tunnus]],'Suoritepäätös 2020'!$Q:$AC,COLUMN('Suoritepäätös 2020'!K:K),FALSE),0)</f>
        <v>0</v>
      </c>
      <c r="AG143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0</v>
      </c>
      <c r="AH143" s="18">
        <f>Vertailu[[#This Row],[Vaikuttavuusrahoitus 2021, €]]-Vertailu[[#This Row],[Vaikuttavuusrahoitus 2020, €]]</f>
        <v>0</v>
      </c>
      <c r="AI143" s="43">
        <f>IFERROR(Vertailu[[#This Row],[Vaikuttavuusrahoituksen muutos, €]]/Vertailu[[#This Row],[Vaikuttavuusrahoitus 2020, €]],0)</f>
        <v>0</v>
      </c>
    </row>
    <row r="144" spans="1:35" ht="12.75" customHeight="1" x14ac:dyDescent="0.25">
      <c r="A144" s="22" t="s">
        <v>238</v>
      </c>
      <c r="B144" s="236" t="s">
        <v>177</v>
      </c>
      <c r="C144" s="142" t="s">
        <v>216</v>
      </c>
      <c r="D144" s="170" t="s">
        <v>392</v>
      </c>
      <c r="E144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1</v>
      </c>
      <c r="F144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1</v>
      </c>
      <c r="G144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</v>
      </c>
      <c r="H144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</v>
      </c>
      <c r="I144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</v>
      </c>
      <c r="J144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0</v>
      </c>
      <c r="K144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0</v>
      </c>
      <c r="L144" s="18">
        <f>IFERROR(VLOOKUP(Vertailu[[#This Row],[Y-tunnus]],'Suoritepäätös 2020'!$Q:$AC,COLUMN('Suoritepäätös 2020'!L:L),FALSE)-VLOOKUP(Vertailu[[#This Row],[Y-tunnus]],'Suoritepäätös 2020'!$B:$N,COLUMN('Suoritepäätös 2020'!F:F),FALSE),0)</f>
        <v>101512</v>
      </c>
      <c r="M144" s="18">
        <f>IFERROR(VLOOKUP(Vertailu[[#This Row],[Y-tunnus]],'1.2 Ohjaus-laskentataulu'!A:AY,COLUMN('1.2 Ohjaus-laskentataulu'!Z:Z),FALSE),0)</f>
        <v>100255</v>
      </c>
      <c r="N144" s="18">
        <f>IFERROR(Vertailu[[#This Row],[Rahoitus pl. hark. kor. 2021 ilman alv, €]]-Vertailu[[#This Row],[Rahoitus pl. hark. kor. 2020 ilman alv, €]],0)</f>
        <v>-1257</v>
      </c>
      <c r="O144" s="43">
        <f>IFERROR(Vertailu[[#This Row],[Muutos, € 1]]/Vertailu[[#This Row],[Rahoitus pl. hark. kor. 2020 ilman alv, €]],0)</f>
        <v>-1.2382772480100874E-2</v>
      </c>
      <c r="P144" s="135">
        <f>IFERROR(VLOOKUP(Vertailu[[#This Row],[Y-tunnus]],'Suoritepäätös 2020'!$Q:$AC,COLUMN('Suoritepäätös 2020'!L:L),FALSE),0)</f>
        <v>121512</v>
      </c>
      <c r="Q144" s="138">
        <f>IFERROR(VLOOKUP(Vertailu[[#This Row],[Y-tunnus]],'1.2 Ohjaus-laskentataulu'!A:AY,COLUMN('1.2 Ohjaus-laskentataulu'!AV:AV),FALSE),0)</f>
        <v>100255</v>
      </c>
      <c r="R144" s="18">
        <f>IFERROR(Vertailu[[#This Row],[Rahoitus ml. hark. kor. 
2021 ilman alv, €]]-Vertailu[[#This Row],[Rahoitus ml. hark. kor. 
2020 ilman alv, €]],0)</f>
        <v>-21257</v>
      </c>
      <c r="S144" s="16">
        <f>IFERROR(Vertailu[[#This Row],[Muutos, € 2]]/Vertailu[[#This Row],[Rahoitus ml. hark. kor. 
2020 ilman alv, €]],0)</f>
        <v>-0.17493745473698072</v>
      </c>
      <c r="T144" s="138">
        <f>IFERROR(VLOOKUP(Vertailu[[#This Row],[Y-tunnus]],'Suoritepäätös 2020'!$Q:$AC,COLUMN('Suoritepäätös 2020'!L:L),FALSE)+VLOOKUP(Vertailu[[#This Row],[Y-tunnus]],'Suoritepäätös 2020'!$Q:$AC,COLUMN('Suoritepäätös 2020'!M:M),FALSE),0)</f>
        <v>235414</v>
      </c>
      <c r="U144" s="135">
        <f>IFERROR(VLOOKUP(Vertailu[[#This Row],[Y-tunnus]],'1.2 Ohjaus-laskentataulu'!A:AY,COLUMN('1.2 Ohjaus-laskentataulu'!AX:AX),FALSE),0)</f>
        <v>242943</v>
      </c>
      <c r="V144" s="141">
        <f>IFERROR(Vertailu[[#This Row],[Rahoitus ml. hark. kor. + alv 2021, €]]-Vertailu[[#This Row],[Rahoitus ml. hark. kor. + alv 2020, €]],0)</f>
        <v>7529</v>
      </c>
      <c r="W144" s="43">
        <f>IFERROR(Vertailu[[#This Row],[Muutos, € 3]]/Vertailu[[#This Row],[Rahoitus ml. hark. kor. + alv 2020, €]],0)</f>
        <v>3.1981955193828744E-2</v>
      </c>
      <c r="X144" s="18">
        <f>IFERROR(VLOOKUP(Vertailu[[#This Row],[Y-tunnus]],'Suoritepäätös 2020'!$B:$N,COLUMN('Suoritepäätös 2020'!G:G),FALSE),0)</f>
        <v>121512</v>
      </c>
      <c r="Y144" s="18">
        <f>IFERROR(VLOOKUP(Vertailu[[#This Row],[Y-tunnus]],'1.2 Ohjaus-laskentataulu'!A:AY,COLUMN('1.2 Ohjaus-laskentataulu'!AS:AS),FALSE),0)</f>
        <v>100255</v>
      </c>
      <c r="Z144" s="18">
        <f>Vertailu[[#This Row],[Perusrahoitus 2021, €]]-Vertailu[[#This Row],[Perusrahoitus 2020, €]]</f>
        <v>-21257</v>
      </c>
      <c r="AA144" s="43">
        <f>IFERROR(Vertailu[[#This Row],[Perusrahoituksen muutos, €]]/Vertailu[[#This Row],[Perusrahoitus 2020, €]],0)</f>
        <v>-0.17493745473698072</v>
      </c>
      <c r="AB144" s="18">
        <f>IFERROR(VLOOKUP(Vertailu[[#This Row],[Y-tunnus]],'Suoritepäätös 2020'!$B:$N,COLUMN('Suoritepäätös 2020'!M:M),FALSE),0)</f>
        <v>0</v>
      </c>
      <c r="AC144" s="18">
        <f>IFERROR(VLOOKUP(Vertailu[[#This Row],[Y-tunnus]],'1.2 Ohjaus-laskentataulu'!A:AY,COLUMN('1.2 Ohjaus-laskentataulu'!O:O),FALSE),0)</f>
        <v>0</v>
      </c>
      <c r="AD144" s="18">
        <f>Vertailu[[#This Row],[Suoritusrahoitus 2021, €]]-Vertailu[[#This Row],[Suoritusrahoitus 2020, €]]</f>
        <v>0</v>
      </c>
      <c r="AE144" s="43">
        <f>IFERROR(Vertailu[[#This Row],[Suoritusrahoituksen muutos, €]]/Vertailu[[#This Row],[Suoritusrahoitus 2020, €]],0)</f>
        <v>0</v>
      </c>
      <c r="AF144" s="18">
        <f>IFERROR(VLOOKUP(Vertailu[[#This Row],[Y-tunnus]],'Suoritepäätös 2020'!$Q:$AC,COLUMN('Suoritepäätös 2020'!K:K),FALSE),0)</f>
        <v>0</v>
      </c>
      <c r="AG144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0</v>
      </c>
      <c r="AH144" s="18">
        <f>Vertailu[[#This Row],[Vaikuttavuusrahoitus 2021, €]]-Vertailu[[#This Row],[Vaikuttavuusrahoitus 2020, €]]</f>
        <v>0</v>
      </c>
      <c r="AI144" s="43">
        <f>IFERROR(Vertailu[[#This Row],[Vaikuttavuusrahoituksen muutos, €]]/Vertailu[[#This Row],[Vaikuttavuusrahoitus 2020, €]],0)</f>
        <v>0</v>
      </c>
    </row>
    <row r="145" spans="1:35" ht="12.75" customHeight="1" x14ac:dyDescent="0.25">
      <c r="A145" s="22" t="s">
        <v>237</v>
      </c>
      <c r="B145" s="236" t="s">
        <v>136</v>
      </c>
      <c r="C145" s="142" t="s">
        <v>222</v>
      </c>
      <c r="D145" s="170" t="s">
        <v>393</v>
      </c>
      <c r="E145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0.69457561956103686</v>
      </c>
      <c r="F145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0.69755611433393205</v>
      </c>
      <c r="G145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0.20195873976898598</v>
      </c>
      <c r="H145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0.10048514589708195</v>
      </c>
      <c r="I145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8.3209204695123745E-2</v>
      </c>
      <c r="J145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3.3263563538332452E-3</v>
      </c>
      <c r="K145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1.3949584848124957E-2</v>
      </c>
      <c r="L145" s="18">
        <f>IFERROR(VLOOKUP(Vertailu[[#This Row],[Y-tunnus]],'Suoritepäätös 2020'!$Q:$AC,COLUMN('Suoritepäätös 2020'!L:L),FALSE)-VLOOKUP(Vertailu[[#This Row],[Y-tunnus]],'Suoritepäätös 2020'!$B:$N,COLUMN('Suoritepäätös 2020'!F:F),FALSE),0)</f>
        <v>22557831</v>
      </c>
      <c r="M145" s="18">
        <f>IFERROR(VLOOKUP(Vertailu[[#This Row],[Y-tunnus]],'1.2 Ohjaus-laskentataulu'!A:AY,COLUMN('1.2 Ohjaus-laskentataulu'!Z:Z),FALSE),0)</f>
        <v>24085063</v>
      </c>
      <c r="N145" s="18">
        <f>IFERROR(Vertailu[[#This Row],[Rahoitus pl. hark. kor. 2021 ilman alv, €]]-Vertailu[[#This Row],[Rahoitus pl. hark. kor. 2020 ilman alv, €]],0)</f>
        <v>1527232</v>
      </c>
      <c r="O145" s="43">
        <f>IFERROR(Vertailu[[#This Row],[Muutos, € 1]]/Vertailu[[#This Row],[Rahoitus pl. hark. kor. 2020 ilman alv, €]],0)</f>
        <v>6.7702963108465519E-2</v>
      </c>
      <c r="P145" s="135">
        <f>IFERROR(VLOOKUP(Vertailu[[#This Row],[Y-tunnus]],'Suoritepäätös 2020'!$Q:$AC,COLUMN('Suoritepäätös 2020'!L:L),FALSE),0)</f>
        <v>22557831</v>
      </c>
      <c r="Q145" s="138">
        <f>IFERROR(VLOOKUP(Vertailu[[#This Row],[Y-tunnus]],'1.2 Ohjaus-laskentataulu'!A:AY,COLUMN('1.2 Ohjaus-laskentataulu'!AV:AV),FALSE),0)</f>
        <v>24157063</v>
      </c>
      <c r="R145" s="18">
        <f>IFERROR(Vertailu[[#This Row],[Rahoitus ml. hark. kor. 
2021 ilman alv, €]]-Vertailu[[#This Row],[Rahoitus ml. hark. kor. 
2020 ilman alv, €]],0)</f>
        <v>1599232</v>
      </c>
      <c r="S145" s="16">
        <f>IFERROR(Vertailu[[#This Row],[Muutos, € 2]]/Vertailu[[#This Row],[Rahoitus ml. hark. kor. 
2020 ilman alv, €]],0)</f>
        <v>7.0894759341002242E-2</v>
      </c>
      <c r="T145" s="138">
        <f>IFERROR(VLOOKUP(Vertailu[[#This Row],[Y-tunnus]],'Suoritepäätös 2020'!$Q:$AC,COLUMN('Suoritepäätös 2020'!L:L),FALSE)+VLOOKUP(Vertailu[[#This Row],[Y-tunnus]],'Suoritepäätös 2020'!$Q:$AC,COLUMN('Suoritepäätös 2020'!M:M),FALSE),0)</f>
        <v>22557831</v>
      </c>
      <c r="U145" s="135">
        <f>IFERROR(VLOOKUP(Vertailu[[#This Row],[Y-tunnus]],'1.2 Ohjaus-laskentataulu'!A:AY,COLUMN('1.2 Ohjaus-laskentataulu'!AX:AX),FALSE),0)</f>
        <v>24157063</v>
      </c>
      <c r="V145" s="141">
        <f>IFERROR(Vertailu[[#This Row],[Rahoitus ml. hark. kor. + alv 2021, €]]-Vertailu[[#This Row],[Rahoitus ml. hark. kor. + alv 2020, €]],0)</f>
        <v>1599232</v>
      </c>
      <c r="W145" s="43">
        <f>IFERROR(Vertailu[[#This Row],[Muutos, € 3]]/Vertailu[[#This Row],[Rahoitus ml. hark. kor. + alv 2020, €]],0)</f>
        <v>7.0894759341002242E-2</v>
      </c>
      <c r="X145" s="18">
        <f>IFERROR(VLOOKUP(Vertailu[[#This Row],[Y-tunnus]],'Suoritepäätös 2020'!$B:$N,COLUMN('Suoritepäätös 2020'!G:G),FALSE),0)</f>
        <v>15465785</v>
      </c>
      <c r="Y145" s="18">
        <f>IFERROR(VLOOKUP(Vertailu[[#This Row],[Y-tunnus]],'1.2 Ohjaus-laskentataulu'!A:AY,COLUMN('1.2 Ohjaus-laskentataulu'!AS:AS),FALSE),0)</f>
        <v>16850907</v>
      </c>
      <c r="Z145" s="18">
        <f>Vertailu[[#This Row],[Perusrahoitus 2021, €]]-Vertailu[[#This Row],[Perusrahoitus 2020, €]]</f>
        <v>1385122</v>
      </c>
      <c r="AA145" s="43">
        <f>IFERROR(Vertailu[[#This Row],[Perusrahoituksen muutos, €]]/Vertailu[[#This Row],[Perusrahoitus 2020, €]],0)</f>
        <v>8.9560407053376215E-2</v>
      </c>
      <c r="AB145" s="18">
        <f>IFERROR(VLOOKUP(Vertailu[[#This Row],[Y-tunnus]],'Suoritepäätös 2020'!$B:$N,COLUMN('Suoritepäätös 2020'!M:M),FALSE),0)</f>
        <v>4318074</v>
      </c>
      <c r="AC145" s="18">
        <f>IFERROR(VLOOKUP(Vertailu[[#This Row],[Y-tunnus]],'1.2 Ohjaus-laskentataulu'!A:AY,COLUMN('1.2 Ohjaus-laskentataulu'!O:O),FALSE),0)</f>
        <v>4878730</v>
      </c>
      <c r="AD145" s="18">
        <f>Vertailu[[#This Row],[Suoritusrahoitus 2021, €]]-Vertailu[[#This Row],[Suoritusrahoitus 2020, €]]</f>
        <v>560656</v>
      </c>
      <c r="AE145" s="43">
        <f>IFERROR(Vertailu[[#This Row],[Suoritusrahoituksen muutos, €]]/Vertailu[[#This Row],[Suoritusrahoitus 2020, €]],0)</f>
        <v>0.12983936819980391</v>
      </c>
      <c r="AF145" s="18">
        <f>IFERROR(VLOOKUP(Vertailu[[#This Row],[Y-tunnus]],'Suoritepäätös 2020'!$Q:$AC,COLUMN('Suoritepäätös 2020'!K:K),FALSE),0)</f>
        <v>2773972</v>
      </c>
      <c r="AG145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2427426</v>
      </c>
      <c r="AH145" s="18">
        <f>Vertailu[[#This Row],[Vaikuttavuusrahoitus 2021, €]]-Vertailu[[#This Row],[Vaikuttavuusrahoitus 2020, €]]</f>
        <v>-346546</v>
      </c>
      <c r="AI145" s="43">
        <f>IFERROR(Vertailu[[#This Row],[Vaikuttavuusrahoituksen muutos, €]]/Vertailu[[#This Row],[Vaikuttavuusrahoitus 2020, €]],0)</f>
        <v>-0.12492772097194925</v>
      </c>
    </row>
    <row r="146" spans="1:35" ht="12.75" customHeight="1" x14ac:dyDescent="0.25">
      <c r="A146" s="22" t="s">
        <v>236</v>
      </c>
      <c r="B146" s="236" t="s">
        <v>137</v>
      </c>
      <c r="C146" s="142" t="s">
        <v>227</v>
      </c>
      <c r="D146" s="170" t="s">
        <v>391</v>
      </c>
      <c r="E146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0.70415329961463013</v>
      </c>
      <c r="F146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0.70415329961463013</v>
      </c>
      <c r="G146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0.19168321988627485</v>
      </c>
      <c r="H146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0.10416348049909503</v>
      </c>
      <c r="I146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7.4697728537743174E-2</v>
      </c>
      <c r="J146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7.3966242013881424E-3</v>
      </c>
      <c r="K146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2.2069127759963704E-2</v>
      </c>
      <c r="L146" s="18">
        <f>IFERROR(VLOOKUP(Vertailu[[#This Row],[Y-tunnus]],'Suoritepäätös 2020'!$Q:$AC,COLUMN('Suoritepäätös 2020'!L:L),FALSE)-VLOOKUP(Vertailu[[#This Row],[Y-tunnus]],'Suoritepäätös 2020'!$B:$N,COLUMN('Suoritepäätös 2020'!F:F),FALSE),0)</f>
        <v>9484413</v>
      </c>
      <c r="M146" s="18">
        <f>IFERROR(VLOOKUP(Vertailu[[#This Row],[Y-tunnus]],'1.2 Ohjaus-laskentataulu'!A:AY,COLUMN('1.2 Ohjaus-laskentataulu'!Z:Z),FALSE),0)</f>
        <v>8977609</v>
      </c>
      <c r="N146" s="18">
        <f>IFERROR(Vertailu[[#This Row],[Rahoitus pl. hark. kor. 2021 ilman alv, €]]-Vertailu[[#This Row],[Rahoitus pl. hark. kor. 2020 ilman alv, €]],0)</f>
        <v>-506804</v>
      </c>
      <c r="O146" s="43">
        <f>IFERROR(Vertailu[[#This Row],[Muutos, € 1]]/Vertailu[[#This Row],[Rahoitus pl. hark. kor. 2020 ilman alv, €]],0)</f>
        <v>-5.3435463006513952E-2</v>
      </c>
      <c r="P146" s="135">
        <f>IFERROR(VLOOKUP(Vertailu[[#This Row],[Y-tunnus]],'Suoritepäätös 2020'!$Q:$AC,COLUMN('Suoritepäätös 2020'!L:L),FALSE),0)</f>
        <v>9484413</v>
      </c>
      <c r="Q146" s="138">
        <f>IFERROR(VLOOKUP(Vertailu[[#This Row],[Y-tunnus]],'1.2 Ohjaus-laskentataulu'!A:AY,COLUMN('1.2 Ohjaus-laskentataulu'!AV:AV),FALSE),0)</f>
        <v>8977609</v>
      </c>
      <c r="R146" s="18">
        <f>IFERROR(Vertailu[[#This Row],[Rahoitus ml. hark. kor. 
2021 ilman alv, €]]-Vertailu[[#This Row],[Rahoitus ml. hark. kor. 
2020 ilman alv, €]],0)</f>
        <v>-506804</v>
      </c>
      <c r="S146" s="16">
        <f>IFERROR(Vertailu[[#This Row],[Muutos, € 2]]/Vertailu[[#This Row],[Rahoitus ml. hark. kor. 
2020 ilman alv, €]],0)</f>
        <v>-5.3435463006513952E-2</v>
      </c>
      <c r="T146" s="138">
        <f>IFERROR(VLOOKUP(Vertailu[[#This Row],[Y-tunnus]],'Suoritepäätös 2020'!$Q:$AC,COLUMN('Suoritepäätös 2020'!L:L),FALSE)+VLOOKUP(Vertailu[[#This Row],[Y-tunnus]],'Suoritepäätös 2020'!$Q:$AC,COLUMN('Suoritepäätös 2020'!M:M),FALSE),0)</f>
        <v>9484413</v>
      </c>
      <c r="U146" s="135">
        <f>IFERROR(VLOOKUP(Vertailu[[#This Row],[Y-tunnus]],'1.2 Ohjaus-laskentataulu'!A:AY,COLUMN('1.2 Ohjaus-laskentataulu'!AX:AX),FALSE),0)</f>
        <v>8977609</v>
      </c>
      <c r="V146" s="141">
        <f>IFERROR(Vertailu[[#This Row],[Rahoitus ml. hark. kor. + alv 2021, €]]-Vertailu[[#This Row],[Rahoitus ml. hark. kor. + alv 2020, €]],0)</f>
        <v>-506804</v>
      </c>
      <c r="W146" s="43">
        <f>IFERROR(Vertailu[[#This Row],[Muutos, € 3]]/Vertailu[[#This Row],[Rahoitus ml. hark. kor. + alv 2020, €]],0)</f>
        <v>-5.3435463006513952E-2</v>
      </c>
      <c r="X146" s="18">
        <f>IFERROR(VLOOKUP(Vertailu[[#This Row],[Y-tunnus]],'Suoritepäätös 2020'!$B:$N,COLUMN('Suoritepäätös 2020'!G:G),FALSE),0)</f>
        <v>6143821</v>
      </c>
      <c r="Y146" s="18">
        <f>IFERROR(VLOOKUP(Vertailu[[#This Row],[Y-tunnus]],'1.2 Ohjaus-laskentataulu'!A:AY,COLUMN('1.2 Ohjaus-laskentataulu'!AS:AS),FALSE),0)</f>
        <v>6321613</v>
      </c>
      <c r="Z146" s="18">
        <f>Vertailu[[#This Row],[Perusrahoitus 2021, €]]-Vertailu[[#This Row],[Perusrahoitus 2020, €]]</f>
        <v>177792</v>
      </c>
      <c r="AA146" s="43">
        <f>IFERROR(Vertailu[[#This Row],[Perusrahoituksen muutos, €]]/Vertailu[[#This Row],[Perusrahoitus 2020, €]],0)</f>
        <v>2.8938343093003523E-2</v>
      </c>
      <c r="AB146" s="18">
        <f>IFERROR(VLOOKUP(Vertailu[[#This Row],[Y-tunnus]],'Suoritepäätös 2020'!$B:$N,COLUMN('Suoritepäätös 2020'!M:M),FALSE),0)</f>
        <v>2200071</v>
      </c>
      <c r="AC146" s="18">
        <f>IFERROR(VLOOKUP(Vertailu[[#This Row],[Y-tunnus]],'1.2 Ohjaus-laskentataulu'!A:AY,COLUMN('1.2 Ohjaus-laskentataulu'!O:O),FALSE),0)</f>
        <v>1720857</v>
      </c>
      <c r="AD146" s="18">
        <f>Vertailu[[#This Row],[Suoritusrahoitus 2021, €]]-Vertailu[[#This Row],[Suoritusrahoitus 2020, €]]</f>
        <v>-479214</v>
      </c>
      <c r="AE146" s="43">
        <f>IFERROR(Vertailu[[#This Row],[Suoritusrahoituksen muutos, €]]/Vertailu[[#This Row],[Suoritusrahoitus 2020, €]],0)</f>
        <v>-0.21781751588925993</v>
      </c>
      <c r="AF146" s="18">
        <f>IFERROR(VLOOKUP(Vertailu[[#This Row],[Y-tunnus]],'Suoritepäätös 2020'!$Q:$AC,COLUMN('Suoritepäätös 2020'!K:K),FALSE),0)</f>
        <v>1140521</v>
      </c>
      <c r="AG146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935139</v>
      </c>
      <c r="AH146" s="18">
        <f>Vertailu[[#This Row],[Vaikuttavuusrahoitus 2021, €]]-Vertailu[[#This Row],[Vaikuttavuusrahoitus 2020, €]]</f>
        <v>-205382</v>
      </c>
      <c r="AI146" s="43">
        <f>IFERROR(Vertailu[[#This Row],[Vaikuttavuusrahoituksen muutos, €]]/Vertailu[[#This Row],[Vaikuttavuusrahoitus 2020, €]],0)</f>
        <v>-0.18007735061432451</v>
      </c>
    </row>
    <row r="147" spans="1:35" ht="12.75" customHeight="1" x14ac:dyDescent="0.25">
      <c r="A147" s="22" t="s">
        <v>235</v>
      </c>
      <c r="B147" s="236" t="s">
        <v>138</v>
      </c>
      <c r="C147" s="142" t="s">
        <v>234</v>
      </c>
      <c r="D147" s="170" t="s">
        <v>392</v>
      </c>
      <c r="E147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0.48249726944127641</v>
      </c>
      <c r="F147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0.48249726944127641</v>
      </c>
      <c r="G147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0.22128085833076871</v>
      </c>
      <c r="H147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0.29622187222795487</v>
      </c>
      <c r="I147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0.24631751721308012</v>
      </c>
      <c r="J147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9.7153581105137079E-3</v>
      </c>
      <c r="K147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4.0188996904361049E-2</v>
      </c>
      <c r="L147" s="18">
        <f>IFERROR(VLOOKUP(Vertailu[[#This Row],[Y-tunnus]],'Suoritepäätös 2020'!$Q:$AC,COLUMN('Suoritepäätös 2020'!L:L),FALSE)-VLOOKUP(Vertailu[[#This Row],[Y-tunnus]],'Suoritepäätös 2020'!$B:$N,COLUMN('Suoritepäätös 2020'!F:F),FALSE),0)</f>
        <v>150422</v>
      </c>
      <c r="M147" s="18">
        <f>IFERROR(VLOOKUP(Vertailu[[#This Row],[Y-tunnus]],'1.2 Ohjaus-laskentataulu'!A:AY,COLUMN('1.2 Ohjaus-laskentataulu'!Z:Z),FALSE),0)</f>
        <v>165717</v>
      </c>
      <c r="N147" s="18">
        <f>IFERROR(Vertailu[[#This Row],[Rahoitus pl. hark. kor. 2021 ilman alv, €]]-Vertailu[[#This Row],[Rahoitus pl. hark. kor. 2020 ilman alv, €]],0)</f>
        <v>15295</v>
      </c>
      <c r="O147" s="43">
        <f>IFERROR(Vertailu[[#This Row],[Muutos, € 1]]/Vertailu[[#This Row],[Rahoitus pl. hark. kor. 2020 ilman alv, €]],0)</f>
        <v>0.10168060523061787</v>
      </c>
      <c r="P147" s="135">
        <f>IFERROR(VLOOKUP(Vertailu[[#This Row],[Y-tunnus]],'Suoritepäätös 2020'!$Q:$AC,COLUMN('Suoritepäätös 2020'!L:L),FALSE),0)</f>
        <v>154422</v>
      </c>
      <c r="Q147" s="138">
        <f>IFERROR(VLOOKUP(Vertailu[[#This Row],[Y-tunnus]],'1.2 Ohjaus-laskentataulu'!A:AY,COLUMN('1.2 Ohjaus-laskentataulu'!AV:AV),FALSE),0)</f>
        <v>165717</v>
      </c>
      <c r="R147" s="18">
        <f>IFERROR(Vertailu[[#This Row],[Rahoitus ml. hark. kor. 
2021 ilman alv, €]]-Vertailu[[#This Row],[Rahoitus ml. hark. kor. 
2020 ilman alv, €]],0)</f>
        <v>11295</v>
      </c>
      <c r="S147" s="16">
        <f>IFERROR(Vertailu[[#This Row],[Muutos, € 2]]/Vertailu[[#This Row],[Rahoitus ml. hark. kor. 
2020 ilman alv, €]],0)</f>
        <v>7.3143723044643894E-2</v>
      </c>
      <c r="T147" s="138">
        <f>IFERROR(VLOOKUP(Vertailu[[#This Row],[Y-tunnus]],'Suoritepäätös 2020'!$Q:$AC,COLUMN('Suoritepäätös 2020'!L:L),FALSE)+VLOOKUP(Vertailu[[#This Row],[Y-tunnus]],'Suoritepäätös 2020'!$Q:$AC,COLUMN('Suoritepäätös 2020'!M:M),FALSE),0)</f>
        <v>154422</v>
      </c>
      <c r="U147" s="135">
        <f>IFERROR(VLOOKUP(Vertailu[[#This Row],[Y-tunnus]],'1.2 Ohjaus-laskentataulu'!A:AY,COLUMN('1.2 Ohjaus-laskentataulu'!AX:AX),FALSE),0)</f>
        <v>165717</v>
      </c>
      <c r="V147" s="141">
        <f>IFERROR(Vertailu[[#This Row],[Rahoitus ml. hark. kor. + alv 2021, €]]-Vertailu[[#This Row],[Rahoitus ml. hark. kor. + alv 2020, €]],0)</f>
        <v>11295</v>
      </c>
      <c r="W147" s="43">
        <f>IFERROR(Vertailu[[#This Row],[Muutos, € 3]]/Vertailu[[#This Row],[Rahoitus ml. hark. kor. + alv 2020, €]],0)</f>
        <v>7.3143723044643894E-2</v>
      </c>
      <c r="X147" s="18">
        <f>IFERROR(VLOOKUP(Vertailu[[#This Row],[Y-tunnus]],'Suoritepäätös 2020'!$B:$N,COLUMN('Suoritepäätös 2020'!G:G),FALSE),0)</f>
        <v>88396</v>
      </c>
      <c r="Y147" s="18">
        <f>IFERROR(VLOOKUP(Vertailu[[#This Row],[Y-tunnus]],'1.2 Ohjaus-laskentataulu'!A:AY,COLUMN('1.2 Ohjaus-laskentataulu'!AS:AS),FALSE),0)</f>
        <v>79958</v>
      </c>
      <c r="Z147" s="18">
        <f>Vertailu[[#This Row],[Perusrahoitus 2021, €]]-Vertailu[[#This Row],[Perusrahoitus 2020, €]]</f>
        <v>-8438</v>
      </c>
      <c r="AA147" s="43">
        <f>IFERROR(Vertailu[[#This Row],[Perusrahoituksen muutos, €]]/Vertailu[[#This Row],[Perusrahoitus 2020, €]],0)</f>
        <v>-9.5456808000362006E-2</v>
      </c>
      <c r="AB147" s="18">
        <f>IFERROR(VLOOKUP(Vertailu[[#This Row],[Y-tunnus]],'Suoritepäätös 2020'!$B:$N,COLUMN('Suoritepäätös 2020'!M:M),FALSE),0)</f>
        <v>4744</v>
      </c>
      <c r="AC147" s="18">
        <f>IFERROR(VLOOKUP(Vertailu[[#This Row],[Y-tunnus]],'1.2 Ohjaus-laskentataulu'!A:AY,COLUMN('1.2 Ohjaus-laskentataulu'!O:O),FALSE),0)</f>
        <v>36670</v>
      </c>
      <c r="AD147" s="18">
        <f>Vertailu[[#This Row],[Suoritusrahoitus 2021, €]]-Vertailu[[#This Row],[Suoritusrahoitus 2020, €]]</f>
        <v>31926</v>
      </c>
      <c r="AE147" s="43">
        <f>IFERROR(Vertailu[[#This Row],[Suoritusrahoituksen muutos, €]]/Vertailu[[#This Row],[Suoritusrahoitus 2020, €]],0)</f>
        <v>6.729763912310287</v>
      </c>
      <c r="AF147" s="18">
        <f>IFERROR(VLOOKUP(Vertailu[[#This Row],[Y-tunnus]],'Suoritepäätös 2020'!$Q:$AC,COLUMN('Suoritepäätös 2020'!K:K),FALSE),0)</f>
        <v>61282</v>
      </c>
      <c r="AG147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49089</v>
      </c>
      <c r="AH147" s="18">
        <f>Vertailu[[#This Row],[Vaikuttavuusrahoitus 2021, €]]-Vertailu[[#This Row],[Vaikuttavuusrahoitus 2020, €]]</f>
        <v>-12193</v>
      </c>
      <c r="AI147" s="43">
        <f>IFERROR(Vertailu[[#This Row],[Vaikuttavuusrahoituksen muutos, €]]/Vertailu[[#This Row],[Vaikuttavuusrahoitus 2020, €]],0)</f>
        <v>-0.19896543846480205</v>
      </c>
    </row>
    <row r="148" spans="1:35" ht="12.75" customHeight="1" x14ac:dyDescent="0.25">
      <c r="A148" s="22" t="s">
        <v>233</v>
      </c>
      <c r="B148" s="236" t="s">
        <v>178</v>
      </c>
      <c r="C148" s="142" t="s">
        <v>232</v>
      </c>
      <c r="D148" s="170" t="s">
        <v>392</v>
      </c>
      <c r="E148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</v>
      </c>
      <c r="F148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</v>
      </c>
      <c r="G148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</v>
      </c>
      <c r="H148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</v>
      </c>
      <c r="I148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</v>
      </c>
      <c r="J148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0</v>
      </c>
      <c r="K148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0</v>
      </c>
      <c r="L148" s="18">
        <f>IFERROR(VLOOKUP(Vertailu[[#This Row],[Y-tunnus]],'Suoritepäätös 2020'!$Q:$AC,COLUMN('Suoritepäätös 2020'!L:L),FALSE)-VLOOKUP(Vertailu[[#This Row],[Y-tunnus]],'Suoritepäätös 2020'!$B:$N,COLUMN('Suoritepäätös 2020'!F:F),FALSE),0)</f>
        <v>0</v>
      </c>
      <c r="M148" s="18">
        <f>IFERROR(VLOOKUP(Vertailu[[#This Row],[Y-tunnus]],'1.2 Ohjaus-laskentataulu'!A:AY,COLUMN('1.2 Ohjaus-laskentataulu'!Z:Z),FALSE),0)</f>
        <v>0</v>
      </c>
      <c r="N148" s="18">
        <f>IFERROR(Vertailu[[#This Row],[Rahoitus pl. hark. kor. 2021 ilman alv, €]]-Vertailu[[#This Row],[Rahoitus pl. hark. kor. 2020 ilman alv, €]],0)</f>
        <v>0</v>
      </c>
      <c r="O148" s="43">
        <f>IFERROR(Vertailu[[#This Row],[Muutos, € 1]]/Vertailu[[#This Row],[Rahoitus pl. hark. kor. 2020 ilman alv, €]],0)</f>
        <v>0</v>
      </c>
      <c r="P148" s="135">
        <f>IFERROR(VLOOKUP(Vertailu[[#This Row],[Y-tunnus]],'Suoritepäätös 2020'!$Q:$AC,COLUMN('Suoritepäätös 2020'!L:L),FALSE),0)</f>
        <v>0</v>
      </c>
      <c r="Q148" s="138">
        <f>IFERROR(VLOOKUP(Vertailu[[#This Row],[Y-tunnus]],'1.2 Ohjaus-laskentataulu'!A:AY,COLUMN('1.2 Ohjaus-laskentataulu'!AV:AV),FALSE),0)</f>
        <v>0</v>
      </c>
      <c r="R148" s="18">
        <f>IFERROR(Vertailu[[#This Row],[Rahoitus ml. hark. kor. 
2021 ilman alv, €]]-Vertailu[[#This Row],[Rahoitus ml. hark. kor. 
2020 ilman alv, €]],0)</f>
        <v>0</v>
      </c>
      <c r="S148" s="16">
        <f>IFERROR(Vertailu[[#This Row],[Muutos, € 2]]/Vertailu[[#This Row],[Rahoitus ml. hark. kor. 
2020 ilman alv, €]],0)</f>
        <v>0</v>
      </c>
      <c r="T148" s="138">
        <f>IFERROR(VLOOKUP(Vertailu[[#This Row],[Y-tunnus]],'Suoritepäätös 2020'!$Q:$AC,COLUMN('Suoritepäätös 2020'!L:L),FALSE)+VLOOKUP(Vertailu[[#This Row],[Y-tunnus]],'Suoritepäätös 2020'!$Q:$AC,COLUMN('Suoritepäätös 2020'!M:M),FALSE),0)</f>
        <v>0</v>
      </c>
      <c r="U148" s="135">
        <f>IFERROR(VLOOKUP(Vertailu[[#This Row],[Y-tunnus]],'1.2 Ohjaus-laskentataulu'!A:AY,COLUMN('1.2 Ohjaus-laskentataulu'!AX:AX),FALSE),0)</f>
        <v>0</v>
      </c>
      <c r="V148" s="141">
        <f>IFERROR(Vertailu[[#This Row],[Rahoitus ml. hark. kor. + alv 2021, €]]-Vertailu[[#This Row],[Rahoitus ml. hark. kor. + alv 2020, €]],0)</f>
        <v>0</v>
      </c>
      <c r="W148" s="43">
        <f>IFERROR(Vertailu[[#This Row],[Muutos, € 3]]/Vertailu[[#This Row],[Rahoitus ml. hark. kor. + alv 2020, €]],0)</f>
        <v>0</v>
      </c>
      <c r="X148" s="18">
        <f>IFERROR(VLOOKUP(Vertailu[[#This Row],[Y-tunnus]],'Suoritepäätös 2020'!$B:$N,COLUMN('Suoritepäätös 2020'!G:G),FALSE),0)</f>
        <v>0</v>
      </c>
      <c r="Y148" s="18">
        <f>IFERROR(VLOOKUP(Vertailu[[#This Row],[Y-tunnus]],'1.2 Ohjaus-laskentataulu'!A:AY,COLUMN('1.2 Ohjaus-laskentataulu'!AS:AS),FALSE),0)</f>
        <v>0</v>
      </c>
      <c r="Z148" s="18">
        <f>Vertailu[[#This Row],[Perusrahoitus 2021, €]]-Vertailu[[#This Row],[Perusrahoitus 2020, €]]</f>
        <v>0</v>
      </c>
      <c r="AA148" s="43">
        <f>IFERROR(Vertailu[[#This Row],[Perusrahoituksen muutos, €]]/Vertailu[[#This Row],[Perusrahoitus 2020, €]],0)</f>
        <v>0</v>
      </c>
      <c r="AB148" s="18">
        <f>IFERROR(VLOOKUP(Vertailu[[#This Row],[Y-tunnus]],'Suoritepäätös 2020'!$B:$N,COLUMN('Suoritepäätös 2020'!M:M),FALSE),0)</f>
        <v>0</v>
      </c>
      <c r="AC148" s="18">
        <f>IFERROR(VLOOKUP(Vertailu[[#This Row],[Y-tunnus]],'1.2 Ohjaus-laskentataulu'!A:AY,COLUMN('1.2 Ohjaus-laskentataulu'!O:O),FALSE),0)</f>
        <v>0</v>
      </c>
      <c r="AD148" s="18">
        <f>Vertailu[[#This Row],[Suoritusrahoitus 2021, €]]-Vertailu[[#This Row],[Suoritusrahoitus 2020, €]]</f>
        <v>0</v>
      </c>
      <c r="AE148" s="43">
        <f>IFERROR(Vertailu[[#This Row],[Suoritusrahoituksen muutos, €]]/Vertailu[[#This Row],[Suoritusrahoitus 2020, €]],0)</f>
        <v>0</v>
      </c>
      <c r="AF148" s="18">
        <f>IFERROR(VLOOKUP(Vertailu[[#This Row],[Y-tunnus]],'Suoritepäätös 2020'!$Q:$AC,COLUMN('Suoritepäätös 2020'!K:K),FALSE),0)</f>
        <v>0</v>
      </c>
      <c r="AG148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0</v>
      </c>
      <c r="AH148" s="18">
        <f>Vertailu[[#This Row],[Vaikuttavuusrahoitus 2021, €]]-Vertailu[[#This Row],[Vaikuttavuusrahoitus 2020, €]]</f>
        <v>0</v>
      </c>
      <c r="AI148" s="43">
        <f>IFERROR(Vertailu[[#This Row],[Vaikuttavuusrahoituksen muutos, €]]/Vertailu[[#This Row],[Vaikuttavuusrahoitus 2020, €]],0)</f>
        <v>0</v>
      </c>
    </row>
    <row r="149" spans="1:35" ht="12.75" customHeight="1" x14ac:dyDescent="0.25">
      <c r="A149" s="22" t="s">
        <v>231</v>
      </c>
      <c r="B149" s="236" t="s">
        <v>139</v>
      </c>
      <c r="C149" s="142" t="s">
        <v>230</v>
      </c>
      <c r="D149" s="170" t="s">
        <v>392</v>
      </c>
      <c r="E149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0.80493639668258821</v>
      </c>
      <c r="F149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0.8172603244890192</v>
      </c>
      <c r="G149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0.10367883464938663</v>
      </c>
      <c r="H149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7.9060840861594234E-2</v>
      </c>
      <c r="I149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6.516039829038682E-2</v>
      </c>
      <c r="J149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4.9580109559718196E-3</v>
      </c>
      <c r="K149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8.9424316152355975E-3</v>
      </c>
      <c r="L149" s="18">
        <f>IFERROR(VLOOKUP(Vertailu[[#This Row],[Y-tunnus]],'Suoritepäätös 2020'!$Q:$AC,COLUMN('Suoritepäätös 2020'!L:L),FALSE)-VLOOKUP(Vertailu[[#This Row],[Y-tunnus]],'Suoritepäätös 2020'!$B:$N,COLUMN('Suoritepäätös 2020'!F:F),FALSE),0)</f>
        <v>2256005</v>
      </c>
      <c r="M149" s="18">
        <f>IFERROR(VLOOKUP(Vertailu[[#This Row],[Y-tunnus]],'1.2 Ohjaus-laskentataulu'!A:AY,COLUMN('1.2 Ohjaus-laskentataulu'!Z:Z),FALSE),0)</f>
        <v>2083717</v>
      </c>
      <c r="N149" s="18">
        <f>IFERROR(Vertailu[[#This Row],[Rahoitus pl. hark. kor. 2021 ilman alv, €]]-Vertailu[[#This Row],[Rahoitus pl. hark. kor. 2020 ilman alv, €]],0)</f>
        <v>-172288</v>
      </c>
      <c r="O149" s="43">
        <f>IFERROR(Vertailu[[#This Row],[Muutos, € 1]]/Vertailu[[#This Row],[Rahoitus pl. hark. kor. 2020 ilman alv, €]],0)</f>
        <v>-7.6368625069536636E-2</v>
      </c>
      <c r="P149" s="135">
        <f>IFERROR(VLOOKUP(Vertailu[[#This Row],[Y-tunnus]],'Suoritepäätös 2020'!$Q:$AC,COLUMN('Suoritepäätös 2020'!L:L),FALSE),0)</f>
        <v>2261005</v>
      </c>
      <c r="Q149" s="138">
        <f>IFERROR(VLOOKUP(Vertailu[[#This Row],[Y-tunnus]],'1.2 Ohjaus-laskentataulu'!A:AY,COLUMN('1.2 Ohjaus-laskentataulu'!AV:AV),FALSE),0)</f>
        <v>2109717</v>
      </c>
      <c r="R149" s="18">
        <f>IFERROR(Vertailu[[#This Row],[Rahoitus ml. hark. kor. 
2021 ilman alv, €]]-Vertailu[[#This Row],[Rahoitus ml. hark. kor. 
2020 ilman alv, €]],0)</f>
        <v>-151288</v>
      </c>
      <c r="S149" s="16">
        <f>IFERROR(Vertailu[[#This Row],[Muutos, € 2]]/Vertailu[[#This Row],[Rahoitus ml. hark. kor. 
2020 ilman alv, €]],0)</f>
        <v>-6.6911837877404068E-2</v>
      </c>
      <c r="T149" s="138">
        <f>IFERROR(VLOOKUP(Vertailu[[#This Row],[Y-tunnus]],'Suoritepäätös 2020'!$Q:$AC,COLUMN('Suoritepäätös 2020'!L:L),FALSE)+VLOOKUP(Vertailu[[#This Row],[Y-tunnus]],'Suoritepäätös 2020'!$Q:$AC,COLUMN('Suoritepäätös 2020'!M:M),FALSE),0)</f>
        <v>2366874</v>
      </c>
      <c r="U149" s="135">
        <f>IFERROR(VLOOKUP(Vertailu[[#This Row],[Y-tunnus]],'1.2 Ohjaus-laskentataulu'!A:AY,COLUMN('1.2 Ohjaus-laskentataulu'!AX:AX),FALSE),0)</f>
        <v>2229046</v>
      </c>
      <c r="V149" s="141">
        <f>IFERROR(Vertailu[[#This Row],[Rahoitus ml. hark. kor. + alv 2021, €]]-Vertailu[[#This Row],[Rahoitus ml. hark. kor. + alv 2020, €]],0)</f>
        <v>-137828</v>
      </c>
      <c r="W149" s="43">
        <f>IFERROR(Vertailu[[#This Row],[Muutos, € 3]]/Vertailu[[#This Row],[Rahoitus ml. hark. kor. + alv 2020, €]],0)</f>
        <v>-5.8232081640171802E-2</v>
      </c>
      <c r="X149" s="18">
        <f>IFERROR(VLOOKUP(Vertailu[[#This Row],[Y-tunnus]],'Suoritepäätös 2020'!$B:$N,COLUMN('Suoritepäätös 2020'!G:G),FALSE),0)</f>
        <v>1514102</v>
      </c>
      <c r="Y149" s="18">
        <f>IFERROR(VLOOKUP(Vertailu[[#This Row],[Y-tunnus]],'1.2 Ohjaus-laskentataulu'!A:AY,COLUMN('1.2 Ohjaus-laskentataulu'!AS:AS),FALSE),0)</f>
        <v>1724188</v>
      </c>
      <c r="Z149" s="18">
        <f>Vertailu[[#This Row],[Perusrahoitus 2021, €]]-Vertailu[[#This Row],[Perusrahoitus 2020, €]]</f>
        <v>210086</v>
      </c>
      <c r="AA149" s="43">
        <f>IFERROR(Vertailu[[#This Row],[Perusrahoituksen muutos, €]]/Vertailu[[#This Row],[Perusrahoitus 2020, €]],0)</f>
        <v>0.13875287133891903</v>
      </c>
      <c r="AB149" s="18">
        <f>IFERROR(VLOOKUP(Vertailu[[#This Row],[Y-tunnus]],'Suoritepäätös 2020'!$B:$N,COLUMN('Suoritepäätös 2020'!M:M),FALSE),0)</f>
        <v>634866</v>
      </c>
      <c r="AC149" s="18">
        <f>IFERROR(VLOOKUP(Vertailu[[#This Row],[Y-tunnus]],'1.2 Ohjaus-laskentataulu'!A:AY,COLUMN('1.2 Ohjaus-laskentataulu'!O:O),FALSE),0)</f>
        <v>218733</v>
      </c>
      <c r="AD149" s="18">
        <f>Vertailu[[#This Row],[Suoritusrahoitus 2021, €]]-Vertailu[[#This Row],[Suoritusrahoitus 2020, €]]</f>
        <v>-416133</v>
      </c>
      <c r="AE149" s="43">
        <f>IFERROR(Vertailu[[#This Row],[Suoritusrahoituksen muutos, €]]/Vertailu[[#This Row],[Suoritusrahoitus 2020, €]],0)</f>
        <v>-0.65546587783878807</v>
      </c>
      <c r="AF149" s="18">
        <f>IFERROR(VLOOKUP(Vertailu[[#This Row],[Y-tunnus]],'Suoritepäätös 2020'!$Q:$AC,COLUMN('Suoritepäätös 2020'!K:K),FALSE),0)</f>
        <v>112037</v>
      </c>
      <c r="AG149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166796</v>
      </c>
      <c r="AH149" s="18">
        <f>Vertailu[[#This Row],[Vaikuttavuusrahoitus 2021, €]]-Vertailu[[#This Row],[Vaikuttavuusrahoitus 2020, €]]</f>
        <v>54759</v>
      </c>
      <c r="AI149" s="43">
        <f>IFERROR(Vertailu[[#This Row],[Vaikuttavuusrahoituksen muutos, €]]/Vertailu[[#This Row],[Vaikuttavuusrahoitus 2020, €]],0)</f>
        <v>0.48875817810187705</v>
      </c>
    </row>
    <row r="150" spans="1:35" ht="12.75" customHeight="1" x14ac:dyDescent="0.25">
      <c r="A150" s="22" t="s">
        <v>229</v>
      </c>
      <c r="B150" s="236" t="s">
        <v>140</v>
      </c>
      <c r="C150" s="142" t="s">
        <v>216</v>
      </c>
      <c r="D150" s="170" t="s">
        <v>393</v>
      </c>
      <c r="E150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0.70502797137567985</v>
      </c>
      <c r="F150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0.70771867660354071</v>
      </c>
      <c r="G150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0.20316426934796439</v>
      </c>
      <c r="H150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8.9117054048494876E-2</v>
      </c>
      <c r="I150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6.548327457630361E-2</v>
      </c>
      <c r="J150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6.8946331791459583E-3</v>
      </c>
      <c r="K150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1.6739146293045303E-2</v>
      </c>
      <c r="L150" s="18">
        <f>IFERROR(VLOOKUP(Vertailu[[#This Row],[Y-tunnus]],'Suoritepäätös 2020'!$Q:$AC,COLUMN('Suoritepäätös 2020'!L:L),FALSE)-VLOOKUP(Vertailu[[#This Row],[Y-tunnus]],'Suoritepäätös 2020'!$B:$N,COLUMN('Suoritepäätös 2020'!F:F),FALSE),0)</f>
        <v>31777320</v>
      </c>
      <c r="M150" s="18">
        <f>IFERROR(VLOOKUP(Vertailu[[#This Row],[Y-tunnus]],'1.2 Ohjaus-laskentataulu'!A:AY,COLUMN('1.2 Ohjaus-laskentataulu'!Z:Z),FALSE),0)</f>
        <v>33358480</v>
      </c>
      <c r="N150" s="18">
        <f>IFERROR(Vertailu[[#This Row],[Rahoitus pl. hark. kor. 2021 ilman alv, €]]-Vertailu[[#This Row],[Rahoitus pl. hark. kor. 2020 ilman alv, €]],0)</f>
        <v>1581160</v>
      </c>
      <c r="O150" s="43">
        <f>IFERROR(Vertailu[[#This Row],[Muutos, € 1]]/Vertailu[[#This Row],[Rahoitus pl. hark. kor. 2020 ilman alv, €]],0)</f>
        <v>4.9757500003146896E-2</v>
      </c>
      <c r="P150" s="135">
        <f>IFERROR(VLOOKUP(Vertailu[[#This Row],[Y-tunnus]],'Suoritepäätös 2020'!$Q:$AC,COLUMN('Suoritepäätös 2020'!L:L),FALSE),0)</f>
        <v>31897320</v>
      </c>
      <c r="Q150" s="138">
        <f>IFERROR(VLOOKUP(Vertailu[[#This Row],[Y-tunnus]],'1.2 Ohjaus-laskentataulu'!A:AY,COLUMN('1.2 Ohjaus-laskentataulu'!AV:AV),FALSE),0)</f>
        <v>33448480</v>
      </c>
      <c r="R150" s="18">
        <f>IFERROR(Vertailu[[#This Row],[Rahoitus ml. hark. kor. 
2021 ilman alv, €]]-Vertailu[[#This Row],[Rahoitus ml. hark. kor. 
2020 ilman alv, €]],0)</f>
        <v>1551160</v>
      </c>
      <c r="S150" s="16">
        <f>IFERROR(Vertailu[[#This Row],[Muutos, € 2]]/Vertailu[[#This Row],[Rahoitus ml. hark. kor. 
2020 ilman alv, €]],0)</f>
        <v>4.8629790841362222E-2</v>
      </c>
      <c r="T150" s="138">
        <f>IFERROR(VLOOKUP(Vertailu[[#This Row],[Y-tunnus]],'Suoritepäätös 2020'!$Q:$AC,COLUMN('Suoritepäätös 2020'!L:L),FALSE)+VLOOKUP(Vertailu[[#This Row],[Y-tunnus]],'Suoritepäätös 2020'!$Q:$AC,COLUMN('Suoritepäätös 2020'!M:M),FALSE),0)</f>
        <v>31897320</v>
      </c>
      <c r="U150" s="135">
        <f>IFERROR(VLOOKUP(Vertailu[[#This Row],[Y-tunnus]],'1.2 Ohjaus-laskentataulu'!A:AY,COLUMN('1.2 Ohjaus-laskentataulu'!AX:AX),FALSE),0)</f>
        <v>33448480</v>
      </c>
      <c r="V150" s="141">
        <f>IFERROR(Vertailu[[#This Row],[Rahoitus ml. hark. kor. + alv 2021, €]]-Vertailu[[#This Row],[Rahoitus ml. hark. kor. + alv 2020, €]],0)</f>
        <v>1551160</v>
      </c>
      <c r="W150" s="43">
        <f>IFERROR(Vertailu[[#This Row],[Muutos, € 3]]/Vertailu[[#This Row],[Rahoitus ml. hark. kor. + alv 2020, €]],0)</f>
        <v>4.8629790841362222E-2</v>
      </c>
      <c r="X150" s="18">
        <f>IFERROR(VLOOKUP(Vertailu[[#This Row],[Y-tunnus]],'Suoritepäätös 2020'!$B:$N,COLUMN('Suoritepäätös 2020'!G:G),FALSE),0)</f>
        <v>22069552</v>
      </c>
      <c r="Y150" s="18">
        <f>IFERROR(VLOOKUP(Vertailu[[#This Row],[Y-tunnus]],'1.2 Ohjaus-laskentataulu'!A:AY,COLUMN('1.2 Ohjaus-laskentataulu'!AS:AS),FALSE),0)</f>
        <v>23672114</v>
      </c>
      <c r="Z150" s="18">
        <f>Vertailu[[#This Row],[Perusrahoitus 2021, €]]-Vertailu[[#This Row],[Perusrahoitus 2020, €]]</f>
        <v>1602562</v>
      </c>
      <c r="AA150" s="43">
        <f>IFERROR(Vertailu[[#This Row],[Perusrahoituksen muutos, €]]/Vertailu[[#This Row],[Perusrahoitus 2020, €]],0)</f>
        <v>7.261416090367398E-2</v>
      </c>
      <c r="AB150" s="18">
        <f>IFERROR(VLOOKUP(Vertailu[[#This Row],[Y-tunnus]],'Suoritepäätös 2020'!$B:$N,COLUMN('Suoritepäätös 2020'!M:M),FALSE),0)</f>
        <v>6864907</v>
      </c>
      <c r="AC150" s="18">
        <f>IFERROR(VLOOKUP(Vertailu[[#This Row],[Y-tunnus]],'1.2 Ohjaus-laskentataulu'!A:AY,COLUMN('1.2 Ohjaus-laskentataulu'!O:O),FALSE),0)</f>
        <v>6795536</v>
      </c>
      <c r="AD150" s="18">
        <f>Vertailu[[#This Row],[Suoritusrahoitus 2021, €]]-Vertailu[[#This Row],[Suoritusrahoitus 2020, €]]</f>
        <v>-69371</v>
      </c>
      <c r="AE150" s="43">
        <f>IFERROR(Vertailu[[#This Row],[Suoritusrahoituksen muutos, €]]/Vertailu[[#This Row],[Suoritusrahoitus 2020, €]],0)</f>
        <v>-1.0105162386030866E-2</v>
      </c>
      <c r="AF150" s="18">
        <f>IFERROR(VLOOKUP(Vertailu[[#This Row],[Y-tunnus]],'Suoritepäätös 2020'!$Q:$AC,COLUMN('Suoritepäätös 2020'!K:K),FALSE),0)</f>
        <v>2962861</v>
      </c>
      <c r="AG150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2980830</v>
      </c>
      <c r="AH150" s="18">
        <f>Vertailu[[#This Row],[Vaikuttavuusrahoitus 2021, €]]-Vertailu[[#This Row],[Vaikuttavuusrahoitus 2020, €]]</f>
        <v>17969</v>
      </c>
      <c r="AI150" s="43">
        <f>IFERROR(Vertailu[[#This Row],[Vaikuttavuusrahoituksen muutos, €]]/Vertailu[[#This Row],[Vaikuttavuusrahoitus 2020, €]],0)</f>
        <v>6.0647462030787138E-3</v>
      </c>
    </row>
    <row r="151" spans="1:35" ht="12.75" customHeight="1" x14ac:dyDescent="0.25">
      <c r="A151" s="22" t="s">
        <v>228</v>
      </c>
      <c r="B151" s="236" t="s">
        <v>141</v>
      </c>
      <c r="C151" s="142" t="s">
        <v>227</v>
      </c>
      <c r="D151" s="170" t="s">
        <v>392</v>
      </c>
      <c r="E151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0.64631056955797417</v>
      </c>
      <c r="F151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0.64631056955797417</v>
      </c>
      <c r="G151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0.25962498043449866</v>
      </c>
      <c r="H151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9.4064450007527112E-2</v>
      </c>
      <c r="I151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5.1386234461004085E-2</v>
      </c>
      <c r="J151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5.9673532786795359E-3</v>
      </c>
      <c r="K151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3.6710862267843487E-2</v>
      </c>
      <c r="L151" s="18">
        <f>IFERROR(VLOOKUP(Vertailu[[#This Row],[Y-tunnus]],'Suoritepäätös 2020'!$Q:$AC,COLUMN('Suoritepäätös 2020'!L:L),FALSE)-VLOOKUP(Vertailu[[#This Row],[Y-tunnus]],'Suoritepäätös 2020'!$B:$N,COLUMN('Suoritepäätös 2020'!F:F),FALSE),0)</f>
        <v>1848473</v>
      </c>
      <c r="M151" s="18">
        <f>IFERROR(VLOOKUP(Vertailu[[#This Row],[Y-tunnus]],'1.2 Ohjaus-laskentataulu'!A:AY,COLUMN('1.2 Ohjaus-laskentataulu'!Z:Z),FALSE),0)</f>
        <v>2006082</v>
      </c>
      <c r="N151" s="18">
        <f>IFERROR(Vertailu[[#This Row],[Rahoitus pl. hark. kor. 2021 ilman alv, €]]-Vertailu[[#This Row],[Rahoitus pl. hark. kor. 2020 ilman alv, €]],0)</f>
        <v>157609</v>
      </c>
      <c r="O151" s="43">
        <f>IFERROR(Vertailu[[#This Row],[Muutos, € 1]]/Vertailu[[#This Row],[Rahoitus pl. hark. kor. 2020 ilman alv, €]],0)</f>
        <v>8.5264431776931549E-2</v>
      </c>
      <c r="P151" s="135">
        <f>IFERROR(VLOOKUP(Vertailu[[#This Row],[Y-tunnus]],'Suoritepäätös 2020'!$Q:$AC,COLUMN('Suoritepäätös 2020'!L:L),FALSE),0)</f>
        <v>1848473</v>
      </c>
      <c r="Q151" s="138">
        <f>IFERROR(VLOOKUP(Vertailu[[#This Row],[Y-tunnus]],'1.2 Ohjaus-laskentataulu'!A:AY,COLUMN('1.2 Ohjaus-laskentataulu'!AV:AV),FALSE),0)</f>
        <v>2006082</v>
      </c>
      <c r="R151" s="18">
        <f>IFERROR(Vertailu[[#This Row],[Rahoitus ml. hark. kor. 
2021 ilman alv, €]]-Vertailu[[#This Row],[Rahoitus ml. hark. kor. 
2020 ilman alv, €]],0)</f>
        <v>157609</v>
      </c>
      <c r="S151" s="16">
        <f>IFERROR(Vertailu[[#This Row],[Muutos, € 2]]/Vertailu[[#This Row],[Rahoitus ml. hark. kor. 
2020 ilman alv, €]],0)</f>
        <v>8.5264431776931549E-2</v>
      </c>
      <c r="T151" s="138">
        <f>IFERROR(VLOOKUP(Vertailu[[#This Row],[Y-tunnus]],'Suoritepäätös 2020'!$Q:$AC,COLUMN('Suoritepäätös 2020'!L:L),FALSE)+VLOOKUP(Vertailu[[#This Row],[Y-tunnus]],'Suoritepäätös 2020'!$Q:$AC,COLUMN('Suoritepäätös 2020'!M:M),FALSE),0)</f>
        <v>2008444</v>
      </c>
      <c r="U151" s="135">
        <f>IFERROR(VLOOKUP(Vertailu[[#This Row],[Y-tunnus]],'1.2 Ohjaus-laskentataulu'!A:AY,COLUMN('1.2 Ohjaus-laskentataulu'!AX:AX),FALSE),0)</f>
        <v>2197959</v>
      </c>
      <c r="V151" s="141">
        <f>IFERROR(Vertailu[[#This Row],[Rahoitus ml. hark. kor. + alv 2021, €]]-Vertailu[[#This Row],[Rahoitus ml. hark. kor. + alv 2020, €]],0)</f>
        <v>189515</v>
      </c>
      <c r="W151" s="43">
        <f>IFERROR(Vertailu[[#This Row],[Muutos, € 3]]/Vertailu[[#This Row],[Rahoitus ml. hark. kor. + alv 2020, €]],0)</f>
        <v>9.4359115813037353E-2</v>
      </c>
      <c r="X151" s="18">
        <f>IFERROR(VLOOKUP(Vertailu[[#This Row],[Y-tunnus]],'Suoritepäätös 2020'!$B:$N,COLUMN('Suoritepäätös 2020'!G:G),FALSE),0)</f>
        <v>1294865</v>
      </c>
      <c r="Y151" s="18">
        <f>IFERROR(VLOOKUP(Vertailu[[#This Row],[Y-tunnus]],'1.2 Ohjaus-laskentataulu'!A:AY,COLUMN('1.2 Ohjaus-laskentataulu'!AS:AS),FALSE),0)</f>
        <v>1296552</v>
      </c>
      <c r="Z151" s="18">
        <f>Vertailu[[#This Row],[Perusrahoitus 2021, €]]-Vertailu[[#This Row],[Perusrahoitus 2020, €]]</f>
        <v>1687</v>
      </c>
      <c r="AA151" s="43">
        <f>IFERROR(Vertailu[[#This Row],[Perusrahoituksen muutos, €]]/Vertailu[[#This Row],[Perusrahoitus 2020, €]],0)</f>
        <v>1.3028385198456981E-3</v>
      </c>
      <c r="AB151" s="18">
        <f>IFERROR(VLOOKUP(Vertailu[[#This Row],[Y-tunnus]],'Suoritepäätös 2020'!$B:$N,COLUMN('Suoritepäätös 2020'!M:M),FALSE),0)</f>
        <v>360507</v>
      </c>
      <c r="AC151" s="18">
        <f>IFERROR(VLOOKUP(Vertailu[[#This Row],[Y-tunnus]],'1.2 Ohjaus-laskentataulu'!A:AY,COLUMN('1.2 Ohjaus-laskentataulu'!O:O),FALSE),0)</f>
        <v>520829</v>
      </c>
      <c r="AD151" s="18">
        <f>Vertailu[[#This Row],[Suoritusrahoitus 2021, €]]-Vertailu[[#This Row],[Suoritusrahoitus 2020, €]]</f>
        <v>160322</v>
      </c>
      <c r="AE151" s="43">
        <f>IFERROR(Vertailu[[#This Row],[Suoritusrahoituksen muutos, €]]/Vertailu[[#This Row],[Suoritusrahoitus 2020, €]],0)</f>
        <v>0.44471258533121411</v>
      </c>
      <c r="AF151" s="18">
        <f>IFERROR(VLOOKUP(Vertailu[[#This Row],[Y-tunnus]],'Suoritepäätös 2020'!$Q:$AC,COLUMN('Suoritepäätös 2020'!K:K),FALSE),0)</f>
        <v>193101</v>
      </c>
      <c r="AG151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188701</v>
      </c>
      <c r="AH151" s="18">
        <f>Vertailu[[#This Row],[Vaikuttavuusrahoitus 2021, €]]-Vertailu[[#This Row],[Vaikuttavuusrahoitus 2020, €]]</f>
        <v>-4400</v>
      </c>
      <c r="AI151" s="43">
        <f>IFERROR(Vertailu[[#This Row],[Vaikuttavuusrahoituksen muutos, €]]/Vertailu[[#This Row],[Vaikuttavuusrahoitus 2020, €]],0)</f>
        <v>-2.278600317968317E-2</v>
      </c>
    </row>
    <row r="152" spans="1:35" ht="12.75" customHeight="1" x14ac:dyDescent="0.25">
      <c r="A152" s="22" t="s">
        <v>223</v>
      </c>
      <c r="B152" s="236" t="s">
        <v>180</v>
      </c>
      <c r="C152" s="142" t="s">
        <v>222</v>
      </c>
      <c r="D152" s="170" t="s">
        <v>392</v>
      </c>
      <c r="E152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1</v>
      </c>
      <c r="F152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1</v>
      </c>
      <c r="G152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</v>
      </c>
      <c r="H152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</v>
      </c>
      <c r="I152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0</v>
      </c>
      <c r="J152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0</v>
      </c>
      <c r="K152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0</v>
      </c>
      <c r="L152" s="18">
        <f>IFERROR(VLOOKUP(Vertailu[[#This Row],[Y-tunnus]],'Suoritepäätös 2020'!$Q:$AC,COLUMN('Suoritepäätös 2020'!L:L),FALSE)-VLOOKUP(Vertailu[[#This Row],[Y-tunnus]],'Suoritepäätös 2020'!$B:$N,COLUMN('Suoritepäätös 2020'!F:F),FALSE),0)</f>
        <v>89118</v>
      </c>
      <c r="M152" s="18">
        <f>IFERROR(VLOOKUP(Vertailu[[#This Row],[Y-tunnus]],'1.2 Ohjaus-laskentataulu'!A:AY,COLUMN('1.2 Ohjaus-laskentataulu'!Z:Z),FALSE),0)</f>
        <v>20912</v>
      </c>
      <c r="N152" s="18">
        <f>IFERROR(Vertailu[[#This Row],[Rahoitus pl. hark. kor. 2021 ilman alv, €]]-Vertailu[[#This Row],[Rahoitus pl. hark. kor. 2020 ilman alv, €]],0)</f>
        <v>-68206</v>
      </c>
      <c r="O152" s="43">
        <f>IFERROR(Vertailu[[#This Row],[Muutos, € 1]]/Vertailu[[#This Row],[Rahoitus pl. hark. kor. 2020 ilman alv, €]],0)</f>
        <v>-0.76534482371686974</v>
      </c>
      <c r="P152" s="135">
        <f>IFERROR(VLOOKUP(Vertailu[[#This Row],[Y-tunnus]],'Suoritepäätös 2020'!$Q:$AC,COLUMN('Suoritepäätös 2020'!L:L),FALSE),0)</f>
        <v>89118</v>
      </c>
      <c r="Q152" s="138">
        <f>IFERROR(VLOOKUP(Vertailu[[#This Row],[Y-tunnus]],'1.2 Ohjaus-laskentataulu'!A:AY,COLUMN('1.2 Ohjaus-laskentataulu'!AV:AV),FALSE),0)</f>
        <v>20912</v>
      </c>
      <c r="R152" s="18">
        <f>IFERROR(Vertailu[[#This Row],[Rahoitus ml. hark. kor. 
2021 ilman alv, €]]-Vertailu[[#This Row],[Rahoitus ml. hark. kor. 
2020 ilman alv, €]],0)</f>
        <v>-68206</v>
      </c>
      <c r="S152" s="16">
        <f>IFERROR(Vertailu[[#This Row],[Muutos, € 2]]/Vertailu[[#This Row],[Rahoitus ml. hark. kor. 
2020 ilman alv, €]],0)</f>
        <v>-0.76534482371686974</v>
      </c>
      <c r="T152" s="138">
        <f>IFERROR(VLOOKUP(Vertailu[[#This Row],[Y-tunnus]],'Suoritepäätös 2020'!$Q:$AC,COLUMN('Suoritepäätös 2020'!L:L),FALSE)+VLOOKUP(Vertailu[[#This Row],[Y-tunnus]],'Suoritepäätös 2020'!$Q:$AC,COLUMN('Suoritepäätös 2020'!M:M),FALSE),0)</f>
        <v>89118</v>
      </c>
      <c r="U152" s="135">
        <f>IFERROR(VLOOKUP(Vertailu[[#This Row],[Y-tunnus]],'1.2 Ohjaus-laskentataulu'!A:AY,COLUMN('1.2 Ohjaus-laskentataulu'!AX:AX),FALSE),0)</f>
        <v>20912</v>
      </c>
      <c r="V152" s="141">
        <f>IFERROR(Vertailu[[#This Row],[Rahoitus ml. hark. kor. + alv 2021, €]]-Vertailu[[#This Row],[Rahoitus ml. hark. kor. + alv 2020, €]],0)</f>
        <v>-68206</v>
      </c>
      <c r="W152" s="43">
        <f>IFERROR(Vertailu[[#This Row],[Muutos, € 3]]/Vertailu[[#This Row],[Rahoitus ml. hark. kor. + alv 2020, €]],0)</f>
        <v>-0.76534482371686974</v>
      </c>
      <c r="X152" s="18">
        <f>IFERROR(VLOOKUP(Vertailu[[#This Row],[Y-tunnus]],'Suoritepäätös 2020'!$B:$N,COLUMN('Suoritepäätös 2020'!G:G),FALSE),0)</f>
        <v>89118</v>
      </c>
      <c r="Y152" s="18">
        <f>IFERROR(VLOOKUP(Vertailu[[#This Row],[Y-tunnus]],'1.2 Ohjaus-laskentataulu'!A:AY,COLUMN('1.2 Ohjaus-laskentataulu'!AS:AS),FALSE),0)</f>
        <v>20912</v>
      </c>
      <c r="Z152" s="18">
        <f>Vertailu[[#This Row],[Perusrahoitus 2021, €]]-Vertailu[[#This Row],[Perusrahoitus 2020, €]]</f>
        <v>-68206</v>
      </c>
      <c r="AA152" s="43">
        <f>IFERROR(Vertailu[[#This Row],[Perusrahoituksen muutos, €]]/Vertailu[[#This Row],[Perusrahoitus 2020, €]],0)</f>
        <v>-0.76534482371686974</v>
      </c>
      <c r="AB152" s="18">
        <f>IFERROR(VLOOKUP(Vertailu[[#This Row],[Y-tunnus]],'Suoritepäätös 2020'!$B:$N,COLUMN('Suoritepäätös 2020'!M:M),FALSE),0)</f>
        <v>0</v>
      </c>
      <c r="AC152" s="18">
        <f>IFERROR(VLOOKUP(Vertailu[[#This Row],[Y-tunnus]],'1.2 Ohjaus-laskentataulu'!A:AY,COLUMN('1.2 Ohjaus-laskentataulu'!O:O),FALSE),0)</f>
        <v>0</v>
      </c>
      <c r="AD152" s="18">
        <f>Vertailu[[#This Row],[Suoritusrahoitus 2021, €]]-Vertailu[[#This Row],[Suoritusrahoitus 2020, €]]</f>
        <v>0</v>
      </c>
      <c r="AE152" s="43">
        <f>IFERROR(Vertailu[[#This Row],[Suoritusrahoituksen muutos, €]]/Vertailu[[#This Row],[Suoritusrahoitus 2020, €]],0)</f>
        <v>0</v>
      </c>
      <c r="AF152" s="18">
        <f>IFERROR(VLOOKUP(Vertailu[[#This Row],[Y-tunnus]],'Suoritepäätös 2020'!$Q:$AC,COLUMN('Suoritepäätös 2020'!K:K),FALSE),0)</f>
        <v>0</v>
      </c>
      <c r="AG152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0</v>
      </c>
      <c r="AH152" s="18">
        <f>Vertailu[[#This Row],[Vaikuttavuusrahoitus 2021, €]]-Vertailu[[#This Row],[Vaikuttavuusrahoitus 2020, €]]</f>
        <v>0</v>
      </c>
      <c r="AI152" s="43">
        <f>IFERROR(Vertailu[[#This Row],[Vaikuttavuusrahoituksen muutos, €]]/Vertailu[[#This Row],[Vaikuttavuusrahoitus 2020, €]],0)</f>
        <v>0</v>
      </c>
    </row>
    <row r="153" spans="1:35" ht="12.75" customHeight="1" x14ac:dyDescent="0.25">
      <c r="A153" s="22" t="s">
        <v>221</v>
      </c>
      <c r="B153" s="236" t="s">
        <v>142</v>
      </c>
      <c r="C153" s="142" t="s">
        <v>220</v>
      </c>
      <c r="D153" s="170" t="s">
        <v>391</v>
      </c>
      <c r="E153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0.68023185513086881</v>
      </c>
      <c r="F153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0.68023185513086881</v>
      </c>
      <c r="G153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0.21810070692783579</v>
      </c>
      <c r="H153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0.10166743794129539</v>
      </c>
      <c r="I153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7.9822766791733515E-2</v>
      </c>
      <c r="J153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5.5549590187106155E-3</v>
      </c>
      <c r="K153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1.6289712130851255E-2</v>
      </c>
      <c r="L153" s="18">
        <f>IFERROR(VLOOKUP(Vertailu[[#This Row],[Y-tunnus]],'Suoritepäätös 2020'!$Q:$AC,COLUMN('Suoritepäätös 2020'!L:L),FALSE)-VLOOKUP(Vertailu[[#This Row],[Y-tunnus]],'Suoritepäätös 2020'!$B:$N,COLUMN('Suoritepäätös 2020'!F:F),FALSE),0)</f>
        <v>16463028</v>
      </c>
      <c r="M153" s="18">
        <f>IFERROR(VLOOKUP(Vertailu[[#This Row],[Y-tunnus]],'1.2 Ohjaus-laskentataulu'!A:AY,COLUMN('1.2 Ohjaus-laskentataulu'!Z:Z),FALSE),0)</f>
        <v>16837928</v>
      </c>
      <c r="N153" s="18">
        <f>IFERROR(Vertailu[[#This Row],[Rahoitus pl. hark. kor. 2021 ilman alv, €]]-Vertailu[[#This Row],[Rahoitus pl. hark. kor. 2020 ilman alv, €]],0)</f>
        <v>374900</v>
      </c>
      <c r="O153" s="43">
        <f>IFERROR(Vertailu[[#This Row],[Muutos, € 1]]/Vertailu[[#This Row],[Rahoitus pl. hark. kor. 2020 ilman alv, €]],0)</f>
        <v>2.2772238497073563E-2</v>
      </c>
      <c r="P153" s="135">
        <f>IFERROR(VLOOKUP(Vertailu[[#This Row],[Y-tunnus]],'Suoritepäätös 2020'!$Q:$AC,COLUMN('Suoritepäätös 2020'!L:L),FALSE),0)</f>
        <v>16543028</v>
      </c>
      <c r="Q153" s="138">
        <f>IFERROR(VLOOKUP(Vertailu[[#This Row],[Y-tunnus]],'1.2 Ohjaus-laskentataulu'!A:AY,COLUMN('1.2 Ohjaus-laskentataulu'!AV:AV),FALSE),0)</f>
        <v>16837928</v>
      </c>
      <c r="R153" s="18">
        <f>IFERROR(Vertailu[[#This Row],[Rahoitus ml. hark. kor. 
2021 ilman alv, €]]-Vertailu[[#This Row],[Rahoitus ml. hark. kor. 
2020 ilman alv, €]],0)</f>
        <v>294900</v>
      </c>
      <c r="S153" s="16">
        <f>IFERROR(Vertailu[[#This Row],[Muutos, € 2]]/Vertailu[[#This Row],[Rahoitus ml. hark. kor. 
2020 ilman alv, €]],0)</f>
        <v>1.7826240758342427E-2</v>
      </c>
      <c r="T153" s="138">
        <f>IFERROR(VLOOKUP(Vertailu[[#This Row],[Y-tunnus]],'Suoritepäätös 2020'!$Q:$AC,COLUMN('Suoritepäätös 2020'!L:L),FALSE)+VLOOKUP(Vertailu[[#This Row],[Y-tunnus]],'Suoritepäätös 2020'!$Q:$AC,COLUMN('Suoritepäätös 2020'!M:M),FALSE),0)</f>
        <v>16543028</v>
      </c>
      <c r="U153" s="135">
        <f>IFERROR(VLOOKUP(Vertailu[[#This Row],[Y-tunnus]],'1.2 Ohjaus-laskentataulu'!A:AY,COLUMN('1.2 Ohjaus-laskentataulu'!AX:AX),FALSE),0)</f>
        <v>16837928</v>
      </c>
      <c r="V153" s="141">
        <f>IFERROR(Vertailu[[#This Row],[Rahoitus ml. hark. kor. + alv 2021, €]]-Vertailu[[#This Row],[Rahoitus ml. hark. kor. + alv 2020, €]],0)</f>
        <v>294900</v>
      </c>
      <c r="W153" s="43">
        <f>IFERROR(Vertailu[[#This Row],[Muutos, € 3]]/Vertailu[[#This Row],[Rahoitus ml. hark. kor. + alv 2020, €]],0)</f>
        <v>1.7826240758342427E-2</v>
      </c>
      <c r="X153" s="18">
        <f>IFERROR(VLOOKUP(Vertailu[[#This Row],[Y-tunnus]],'Suoritepäätös 2020'!$B:$N,COLUMN('Suoritepäätös 2020'!G:G),FALSE),0)</f>
        <v>11173108</v>
      </c>
      <c r="Y153" s="18">
        <f>IFERROR(VLOOKUP(Vertailu[[#This Row],[Y-tunnus]],'1.2 Ohjaus-laskentataulu'!A:AY,COLUMN('1.2 Ohjaus-laskentataulu'!AS:AS),FALSE),0)</f>
        <v>11453695</v>
      </c>
      <c r="Z153" s="18">
        <f>Vertailu[[#This Row],[Perusrahoitus 2021, €]]-Vertailu[[#This Row],[Perusrahoitus 2020, €]]</f>
        <v>280587</v>
      </c>
      <c r="AA153" s="43">
        <f>IFERROR(Vertailu[[#This Row],[Perusrahoituksen muutos, €]]/Vertailu[[#This Row],[Perusrahoitus 2020, €]],0)</f>
        <v>2.5112708120247292E-2</v>
      </c>
      <c r="AB153" s="18">
        <f>IFERROR(VLOOKUP(Vertailu[[#This Row],[Y-tunnus]],'Suoritepäätös 2020'!$B:$N,COLUMN('Suoritepäätös 2020'!M:M),FALSE),0)</f>
        <v>3934402</v>
      </c>
      <c r="AC153" s="18">
        <f>IFERROR(VLOOKUP(Vertailu[[#This Row],[Y-tunnus]],'1.2 Ohjaus-laskentataulu'!A:AY,COLUMN('1.2 Ohjaus-laskentataulu'!O:O),FALSE),0)</f>
        <v>3672364</v>
      </c>
      <c r="AD153" s="18">
        <f>Vertailu[[#This Row],[Suoritusrahoitus 2021, €]]-Vertailu[[#This Row],[Suoritusrahoitus 2020, €]]</f>
        <v>-262038</v>
      </c>
      <c r="AE153" s="43">
        <f>IFERROR(Vertailu[[#This Row],[Suoritusrahoituksen muutos, €]]/Vertailu[[#This Row],[Suoritusrahoitus 2020, €]],0)</f>
        <v>-6.6601735155685668E-2</v>
      </c>
      <c r="AF153" s="18">
        <f>IFERROR(VLOOKUP(Vertailu[[#This Row],[Y-tunnus]],'Suoritepäätös 2020'!$Q:$AC,COLUMN('Suoritepäätös 2020'!K:K),FALSE),0)</f>
        <v>1435518</v>
      </c>
      <c r="AG153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1711869</v>
      </c>
      <c r="AH153" s="18">
        <f>Vertailu[[#This Row],[Vaikuttavuusrahoitus 2021, €]]-Vertailu[[#This Row],[Vaikuttavuusrahoitus 2020, €]]</f>
        <v>276351</v>
      </c>
      <c r="AI153" s="43">
        <f>IFERROR(Vertailu[[#This Row],[Vaikuttavuusrahoituksen muutos, €]]/Vertailu[[#This Row],[Vaikuttavuusrahoitus 2020, €]],0)</f>
        <v>0.19250960280539847</v>
      </c>
    </row>
    <row r="154" spans="1:35" ht="12.75" customHeight="1" x14ac:dyDescent="0.25">
      <c r="A154" s="22" t="s">
        <v>219</v>
      </c>
      <c r="B154" s="236" t="s">
        <v>143</v>
      </c>
      <c r="C154" s="142" t="s">
        <v>218</v>
      </c>
      <c r="D154" s="170" t="s">
        <v>391</v>
      </c>
      <c r="E154" s="19">
        <f>IFERROR(VLOOKUP(Vertailu[[#This Row],[Y-tunnus]],'1.2 Ohjaus-laskentataulu'!A:AY,COLUMN('1.2 Ohjaus-laskentataulu'!L:L),FALSE)/VLOOKUP(Vertailu[[#This Row],[Y-tunnus]],'1.2 Ohjaus-laskentataulu'!A:AY,COLUMN('1.2 Ohjaus-laskentataulu'!AV:AV),FALSE),0)</f>
        <v>0.68949271305128512</v>
      </c>
      <c r="F154" s="43">
        <f>IFERROR(VLOOKUP(Vertailu[[#This Row],[Y-tunnus]],'1.2 Ohjaus-laskentataulu'!A:AY,COLUMN('1.2 Ohjaus-laskentataulu'!AS:AS),FALSE)/VLOOKUP(Vertailu[[#This Row],[Y-tunnus]],'1.2 Ohjaus-laskentataulu'!A:AY,COLUMN('1.2 Ohjaus-laskentataulu'!AV:AV),FALSE),0)</f>
        <v>0.68949271305128512</v>
      </c>
      <c r="G154" s="172">
        <f>IFERROR(VLOOKUP(Vertailu[[#This Row],[Y-tunnus]],'1.2 Ohjaus-laskentataulu'!A:AY,COLUMN('1.2 Ohjaus-laskentataulu'!AT:AT),FALSE)/VLOOKUP(Vertailu[[#This Row],[Y-tunnus]],'1.2 Ohjaus-laskentataulu'!A:AY,COLUMN('1.2 Ohjaus-laskentataulu'!AV:AV),FALSE),0)</f>
        <v>0.20086521772442104</v>
      </c>
      <c r="H154" s="19">
        <f>IFERROR(VLOOKUP(Vertailu[[#This Row],[Y-tunnus]],'1.2 Ohjaus-laskentataulu'!A:AY,COLUMN('1.2 Ohjaus-laskentataulu'!AU:AU),FALSE)/VLOOKUP(Vertailu[[#This Row],[Y-tunnus]],'1.2 Ohjaus-laskentataulu'!A:AY,COLUMN('1.2 Ohjaus-laskentataulu'!AV:AV),FALSE),0)</f>
        <v>0.10964206922429383</v>
      </c>
      <c r="I154" s="16">
        <f>IFERROR(VLOOKUP(Vertailu[[#This Row],[Y-tunnus]],'1.2 Ohjaus-laskentataulu'!A:AY,COLUMN('1.2 Ohjaus-laskentataulu'!R:R),FALSE)/VLOOKUP(Vertailu[[#This Row],[Y-tunnus]],'1.2 Ohjaus-laskentataulu'!A:AY,COLUMN('1.2 Ohjaus-laskentataulu'!AV:AV),FALSE),0)</f>
        <v>7.8113197446498361E-2</v>
      </c>
      <c r="J154" s="16">
        <f>IFERROR(VLOOKUP(Vertailu[[#This Row],[Y-tunnus]],'1.2 Ohjaus-laskentataulu'!A:AY,COLUMN('1.2 Ohjaus-laskentataulu'!U:U),FALSE)/VLOOKUP(Vertailu[[#This Row],[Y-tunnus]],'1.2 Ohjaus-laskentataulu'!A:AY,COLUMN('1.2 Ohjaus-laskentataulu'!AV:AV),FALSE),0)</f>
        <v>8.9515845442231391E-3</v>
      </c>
      <c r="K154" s="43">
        <f>IFERROR(VLOOKUP(Vertailu[[#This Row],[Y-tunnus]],'1.2 Ohjaus-laskentataulu'!A:AY,COLUMN('1.2 Ohjaus-laskentataulu'!X:X),FALSE)/VLOOKUP(Vertailu[[#This Row],[Y-tunnus]],'1.2 Ohjaus-laskentataulu'!A:AY,COLUMN('1.2 Ohjaus-laskentataulu'!AV:AV),FALSE),0)</f>
        <v>2.2577287233572319E-2</v>
      </c>
      <c r="L154" s="18">
        <f>IFERROR(VLOOKUP(Vertailu[[#This Row],[Y-tunnus]],'Suoritepäätös 2020'!$Q:$AC,COLUMN('Suoritepäätös 2020'!L:L),FALSE)-VLOOKUP(Vertailu[[#This Row],[Y-tunnus]],'Suoritepäätös 2020'!$B:$N,COLUMN('Suoritepäätös 2020'!F:F),FALSE),0)</f>
        <v>15999013</v>
      </c>
      <c r="M154" s="18">
        <f>IFERROR(VLOOKUP(Vertailu[[#This Row],[Y-tunnus]],'1.2 Ohjaus-laskentataulu'!A:AY,COLUMN('1.2 Ohjaus-laskentataulu'!Z:Z),FALSE),0)</f>
        <v>16288848</v>
      </c>
      <c r="N154" s="18">
        <f>IFERROR(Vertailu[[#This Row],[Rahoitus pl. hark. kor. 2021 ilman alv, €]]-Vertailu[[#This Row],[Rahoitus pl. hark. kor. 2020 ilman alv, €]],0)</f>
        <v>289835</v>
      </c>
      <c r="O154" s="43">
        <f>IFERROR(Vertailu[[#This Row],[Muutos, € 1]]/Vertailu[[#This Row],[Rahoitus pl. hark. kor. 2020 ilman alv, €]],0)</f>
        <v>1.8115805018722092E-2</v>
      </c>
      <c r="P154" s="135">
        <f>IFERROR(VLOOKUP(Vertailu[[#This Row],[Y-tunnus]],'Suoritepäätös 2020'!$Q:$AC,COLUMN('Suoritepäätös 2020'!L:L),FALSE),0)</f>
        <v>16079013</v>
      </c>
      <c r="Q154" s="138">
        <f>IFERROR(VLOOKUP(Vertailu[[#This Row],[Y-tunnus]],'1.2 Ohjaus-laskentataulu'!A:AY,COLUMN('1.2 Ohjaus-laskentataulu'!AV:AV),FALSE),0)</f>
        <v>16288848</v>
      </c>
      <c r="R154" s="18">
        <f>IFERROR(Vertailu[[#This Row],[Rahoitus ml. hark. kor. 
2021 ilman alv, €]]-Vertailu[[#This Row],[Rahoitus ml. hark. kor. 
2020 ilman alv, €]],0)</f>
        <v>209835</v>
      </c>
      <c r="S154" s="16">
        <f>IFERROR(Vertailu[[#This Row],[Muutos, € 2]]/Vertailu[[#This Row],[Rahoitus ml. hark. kor. 
2020 ilman alv, €]],0)</f>
        <v>1.3050241330111494E-2</v>
      </c>
      <c r="T154" s="138">
        <f>IFERROR(VLOOKUP(Vertailu[[#This Row],[Y-tunnus]],'Suoritepäätös 2020'!$Q:$AC,COLUMN('Suoritepäätös 2020'!L:L),FALSE)+VLOOKUP(Vertailu[[#This Row],[Y-tunnus]],'Suoritepäätös 2020'!$Q:$AC,COLUMN('Suoritepäätös 2020'!M:M),FALSE),0)</f>
        <v>16079013</v>
      </c>
      <c r="U154" s="135">
        <f>IFERROR(VLOOKUP(Vertailu[[#This Row],[Y-tunnus]],'1.2 Ohjaus-laskentataulu'!A:AY,COLUMN('1.2 Ohjaus-laskentataulu'!AX:AX),FALSE),0)</f>
        <v>16288848</v>
      </c>
      <c r="V154" s="141">
        <f>IFERROR(Vertailu[[#This Row],[Rahoitus ml. hark. kor. + alv 2021, €]]-Vertailu[[#This Row],[Rahoitus ml. hark. kor. + alv 2020, €]],0)</f>
        <v>209835</v>
      </c>
      <c r="W154" s="43">
        <f>IFERROR(Vertailu[[#This Row],[Muutos, € 3]]/Vertailu[[#This Row],[Rahoitus ml. hark. kor. + alv 2020, €]],0)</f>
        <v>1.3050241330111494E-2</v>
      </c>
      <c r="X154" s="18">
        <f>IFERROR(VLOOKUP(Vertailu[[#This Row],[Y-tunnus]],'Suoritepäätös 2020'!$B:$N,COLUMN('Suoritepäätös 2020'!G:G),FALSE),0)</f>
        <v>10588825</v>
      </c>
      <c r="Y154" s="18">
        <f>IFERROR(VLOOKUP(Vertailu[[#This Row],[Y-tunnus]],'1.2 Ohjaus-laskentataulu'!A:AY,COLUMN('1.2 Ohjaus-laskentataulu'!AS:AS),FALSE),0)</f>
        <v>11231042</v>
      </c>
      <c r="Z154" s="18">
        <f>Vertailu[[#This Row],[Perusrahoitus 2021, €]]-Vertailu[[#This Row],[Perusrahoitus 2020, €]]</f>
        <v>642217</v>
      </c>
      <c r="AA154" s="43">
        <f>IFERROR(Vertailu[[#This Row],[Perusrahoituksen muutos, €]]/Vertailu[[#This Row],[Perusrahoitus 2020, €]],0)</f>
        <v>6.0650449884666148E-2</v>
      </c>
      <c r="AB154" s="18">
        <f>IFERROR(VLOOKUP(Vertailu[[#This Row],[Y-tunnus]],'Suoritepäätös 2020'!$B:$N,COLUMN('Suoritepäätös 2020'!M:M),FALSE),0)</f>
        <v>3573569</v>
      </c>
      <c r="AC154" s="18">
        <f>IFERROR(VLOOKUP(Vertailu[[#This Row],[Y-tunnus]],'1.2 Ohjaus-laskentataulu'!A:AY,COLUMN('1.2 Ohjaus-laskentataulu'!O:O),FALSE),0)</f>
        <v>3271863</v>
      </c>
      <c r="AD154" s="18">
        <f>Vertailu[[#This Row],[Suoritusrahoitus 2021, €]]-Vertailu[[#This Row],[Suoritusrahoitus 2020, €]]</f>
        <v>-301706</v>
      </c>
      <c r="AE154" s="43">
        <f>IFERROR(Vertailu[[#This Row],[Suoritusrahoituksen muutos, €]]/Vertailu[[#This Row],[Suoritusrahoitus 2020, €]],0)</f>
        <v>-8.4427081161718154E-2</v>
      </c>
      <c r="AF154" s="18">
        <f>IFERROR(VLOOKUP(Vertailu[[#This Row],[Y-tunnus]],'Suoritepäätös 2020'!$Q:$AC,COLUMN('Suoritepäätös 2020'!K:K),FALSE),0)</f>
        <v>1916619</v>
      </c>
      <c r="AG154" s="18">
        <f>IFERROR(VLOOKUP(Vertailu[[#This Row],[Y-tunnus]],'1.2 Ohjaus-laskentataulu'!A:AY,COLUMN('1.2 Ohjaus-laskentataulu'!R:R),FALSE),0)+IFERROR(VLOOKUP(Vertailu[[#This Row],[Y-tunnus]],'1.2 Ohjaus-laskentataulu'!A:AY,COLUMN('1.2 Ohjaus-laskentataulu'!U:U),FALSE),0)+IFERROR(VLOOKUP(Vertailu[[#This Row],[Y-tunnus]],'1.2 Ohjaus-laskentataulu'!A:AY,COLUMN('1.2 Ohjaus-laskentataulu'!X:X),FALSE),0)</f>
        <v>1785943</v>
      </c>
      <c r="AH154" s="18">
        <f>Vertailu[[#This Row],[Vaikuttavuusrahoitus 2021, €]]-Vertailu[[#This Row],[Vaikuttavuusrahoitus 2020, €]]</f>
        <v>-130676</v>
      </c>
      <c r="AI154" s="43">
        <f>IFERROR(Vertailu[[#This Row],[Vaikuttavuusrahoituksen muutos, €]]/Vertailu[[#This Row],[Vaikuttavuusrahoitus 2020, €]],0)</f>
        <v>-6.8180478227545485E-2</v>
      </c>
    </row>
    <row r="155" spans="1:35" s="130" customFormat="1" ht="12.75" customHeight="1" x14ac:dyDescent="0.25">
      <c r="A155" s="183" t="s">
        <v>16</v>
      </c>
      <c r="B155" s="183">
        <f>COUNTIF(Vertailu[Nimi],"?*")</f>
        <v>149</v>
      </c>
      <c r="C155" s="183"/>
      <c r="D155" s="184"/>
      <c r="E155" s="219">
        <f>Ohj.lask.[[#Totals],[Jaettava € 1]]/Ohj.lask.[[#Totals],[Perus-, suoritus- ja vaikuttavuusrahoitus yhteensä, €]]</f>
        <v>0.69091271192461368</v>
      </c>
      <c r="F155" s="226">
        <f>Ohj.lask.[[#Totals],[Suoriteperusteinen (opiskelijavuosiin perustuva) sekä harkinnanvarainen korotus, €]]/Ohj.lask.[[#Totals],[Perus-, suoritus- ja vaikuttavuusrahoitus yhteensä, €]]</f>
        <v>0.69786039825315271</v>
      </c>
      <c r="G155" s="219">
        <f>Ohj.lask.[[#Totals],[Suoritusrahoitus, €]]/Ohj.lask.[[#Totals],[Perus-, suoritus- ja vaikuttavuusrahoitus yhteensä, €]]</f>
        <v>0.2014264004331332</v>
      </c>
      <c r="H155" s="219">
        <f>Ohj.lask.[[#Totals],[Työllistymiseen ja jatko-opintoihin siirtymiseen perustuva sekä opiskelija-palautteisiin perustuva, €]]/Ohj.lask.[[#Totals],[Perus-, suoritus- ja vaikuttavuusrahoitus yhteensä, €]]</f>
        <v>0.10071320131371406</v>
      </c>
      <c r="I155" s="218">
        <f>Ohj.lask.[[#Totals],[Jaettava € 3]]/Ohj.lask.[[#Totals],[Perus-, suoritus- ja vaikuttavuusrahoitus yhteensä, €]]</f>
        <v>7.5534898516703752E-2</v>
      </c>
      <c r="J155" s="218">
        <f>Ohj.lask.[[#Totals],[Jaettava € 4]]/Ohj.lask.[[#Totals],[Perus-, suoritus- ja vaikuttavuusrahoitus yhteensä, €]]</f>
        <v>6.2945741906748126E-3</v>
      </c>
      <c r="K155" s="226">
        <f>Ohj.lask.[[#Totals],[Jaettava € 5]]/Ohj.lask.[[#Totals],[Perus-, suoritus- ja vaikuttavuusrahoitus yhteensä, €]]</f>
        <v>1.8883728606335502E-2</v>
      </c>
      <c r="L155" s="220">
        <f>SUBTOTAL(109,Vertailu[Rahoitus pl. hark. kor. 2020 ilman alv, €])</f>
        <v>1744926608</v>
      </c>
      <c r="M155" s="220">
        <f>SUBTOTAL(109,Vertailu[Rahoitus pl. hark. kor. 2021 ilman alv, €])</f>
        <v>1810244009</v>
      </c>
      <c r="N155" s="220">
        <f>SUBTOTAL(109,Vertailu[Muutos, € 1])</f>
        <v>65317401</v>
      </c>
      <c r="O155" s="226">
        <f>IFERROR(Vertailu[[#Totals],[Muutos, € 1]]/Vertailu[[#Totals],[Rahoitus pl. hark. kor. 2020 ilman alv, €]],0)</f>
        <v>3.7432749721700617E-2</v>
      </c>
      <c r="P155" s="109">
        <f>SUBTOTAL(109,Vertailu[Rahoitus ml. hark. kor. 
2020 ilman alv, €])</f>
        <v>1758336497</v>
      </c>
      <c r="Q155" s="221">
        <f>SUBTOTAL(109,Vertailu[Rahoitus ml. hark. kor. 
2021 ilman alv, €])</f>
        <v>1822909009</v>
      </c>
      <c r="R155" s="109">
        <f>SUBTOTAL(109,Vertailu[Muutos, € 2])</f>
        <v>64572512</v>
      </c>
      <c r="S155" s="218">
        <f>IFERROR(Vertailu[[#Totals],[Muutos, € 2]]/Vertailu[[#Totals],[Rahoitus ml. hark. kor. 
2020 ilman alv, €]],0)</f>
        <v>3.6723637432408932E-2</v>
      </c>
      <c r="T155" s="220">
        <f>SUBTOTAL(109,Vertailu[Rahoitus ml. hark. kor. + alv 2020, €])</f>
        <v>1788808064</v>
      </c>
      <c r="U155" s="221">
        <f>SUBTOTAL(109,Vertailu[Rahoitus ml. hark. kor. + alv 2021, €])</f>
        <v>1854505406</v>
      </c>
      <c r="V155" s="109">
        <f>SUBTOTAL(109,Vertailu[Muutos, € 3])</f>
        <v>65697342</v>
      </c>
      <c r="W155" s="226">
        <f>IFERROR(Vertailu[[#Totals],[Muutos, € 3]]/Vertailu[[#Totals],[Rahoitus ml. hark. kor. + alv 2020, €]],0)</f>
        <v>3.6726881615846738E-2</v>
      </c>
      <c r="X155" s="220">
        <f>SUBTOTAL(109,Vertailu[Perusrahoitus 2020, €])</f>
        <v>1203184061</v>
      </c>
      <c r="Y155" s="221">
        <f>SUBTOTAL(109,Vertailu[Perusrahoitus 2021, €])</f>
        <v>1272136007</v>
      </c>
      <c r="Z155" s="109">
        <f>SUBTOTAL(109,Vertailu[Perusrahoituksen muutos, €])</f>
        <v>68951946</v>
      </c>
      <c r="AA155" s="226">
        <f>IFERROR(Vertailu[[#Totals],[Perusrahoituksen muutos, €]]/Vertailu[[#Totals],[Perusrahoitus 2020, €]],0)</f>
        <v>5.7307895138414736E-2</v>
      </c>
      <c r="AB155" s="220">
        <f>SUBTOTAL(109,Vertailu[Suoritusrahoitus 2020, €])</f>
        <v>370101773</v>
      </c>
      <c r="AC155" s="221">
        <f>SUBTOTAL(109,Vertailu[Suoritusrahoitus 2021, €])</f>
        <v>367182000</v>
      </c>
      <c r="AD155" s="109">
        <f>SUBTOTAL(109,Vertailu[Suoritusrahoituksen muutos, €])</f>
        <v>-2919773</v>
      </c>
      <c r="AE155" s="226">
        <f>IFERROR(Vertailu[[#Totals],[Suoritusrahoituksen muutos, €]]/Vertailu[[#Totals],[Suoritusrahoitus 2020, €]],0)</f>
        <v>-7.8891083831689728E-3</v>
      </c>
      <c r="AF155" s="220">
        <f>SUBTOTAL(109,Vertailu[Vaikuttavuusrahoitus 2020, €])</f>
        <v>185050663</v>
      </c>
      <c r="AG155" s="221">
        <f>SUBTOTAL(109,Vertailu[Vaikuttavuusrahoitus 2021, €])</f>
        <v>183591002</v>
      </c>
      <c r="AH155" s="109">
        <f>SUBTOTAL(109,Vertailu[Vaikuttavuusrahoituksen muutos, €])</f>
        <v>-1459661</v>
      </c>
      <c r="AI155" s="226">
        <f>IFERROR(Vertailu[[#Totals],[Vaikuttavuusrahoituksen muutos, €]]/Vertailu[[#Totals],[Vaikuttavuusrahoitus 2020, €]],0)</f>
        <v>-7.8878993262509953E-3</v>
      </c>
    </row>
    <row r="156" spans="1:3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35" x14ac:dyDescent="0.25">
      <c r="A157"/>
      <c r="B157"/>
      <c r="C157"/>
      <c r="D157"/>
      <c r="E157"/>
      <c r="F157"/>
      <c r="G157"/>
      <c r="H157"/>
      <c r="I157"/>
      <c r="J157"/>
      <c r="K157"/>
      <c r="N157" s="22"/>
      <c r="O157" s="22"/>
    </row>
    <row r="158" spans="1:3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3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3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x14ac:dyDescent="0.25">
      <c r="K211"/>
    </row>
    <row r="212" spans="1:13" x14ac:dyDescent="0.25">
      <c r="K212"/>
    </row>
    <row r="213" spans="1:13" x14ac:dyDescent="0.25">
      <c r="K213"/>
    </row>
    <row r="214" spans="1:13" x14ac:dyDescent="0.25">
      <c r="K214"/>
    </row>
    <row r="215" spans="1:13" x14ac:dyDescent="0.25">
      <c r="K215"/>
    </row>
    <row r="216" spans="1:13" x14ac:dyDescent="0.25">
      <c r="K216"/>
    </row>
    <row r="217" spans="1:13" x14ac:dyDescent="0.25">
      <c r="K217"/>
    </row>
    <row r="218" spans="1:13" x14ac:dyDescent="0.25">
      <c r="K218"/>
    </row>
    <row r="219" spans="1:13" x14ac:dyDescent="0.25">
      <c r="K219"/>
    </row>
    <row r="220" spans="1:13" x14ac:dyDescent="0.25">
      <c r="K220"/>
    </row>
    <row r="221" spans="1:13" x14ac:dyDescent="0.25">
      <c r="K221"/>
    </row>
    <row r="222" spans="1:13" x14ac:dyDescent="0.25">
      <c r="K222"/>
    </row>
    <row r="223" spans="1:13" x14ac:dyDescent="0.25">
      <c r="K223"/>
    </row>
    <row r="224" spans="1:13" x14ac:dyDescent="0.25">
      <c r="K224"/>
    </row>
    <row r="225" spans="11:11" x14ac:dyDescent="0.25">
      <c r="K225"/>
    </row>
  </sheetData>
  <sortState ref="H182:H222">
    <sortCondition ref="H182"/>
  </sortState>
  <mergeCells count="14">
    <mergeCell ref="AB2:AE2"/>
    <mergeCell ref="AB3:AE4"/>
    <mergeCell ref="AF2:AI2"/>
    <mergeCell ref="AF3:AI4"/>
    <mergeCell ref="P3:S4"/>
    <mergeCell ref="T3:W4"/>
    <mergeCell ref="L2:O2"/>
    <mergeCell ref="X2:AA2"/>
    <mergeCell ref="X3:AA4"/>
    <mergeCell ref="A2:B4"/>
    <mergeCell ref="H4:K4"/>
    <mergeCell ref="E2:K2"/>
    <mergeCell ref="E4:F4"/>
    <mergeCell ref="L3:O4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8">
    <tabColor theme="4" tint="0.59999389629810485"/>
  </sheetPr>
  <dimension ref="A1:DZ28"/>
  <sheetViews>
    <sheetView zoomScale="90" zoomScaleNormal="90" workbookViewId="0">
      <pane xSplit="2" ySplit="5" topLeftCell="F6" activePane="bottomRight" state="frozen"/>
      <selection pane="topRight" activeCell="C1" sqref="C1"/>
      <selection pane="bottomLeft" activeCell="A6" sqref="A6"/>
      <selection pane="bottomRight"/>
    </sheetView>
  </sheetViews>
  <sheetFormatPr defaultColWidth="9.140625" defaultRowHeight="12.75" x14ac:dyDescent="0.2"/>
  <cols>
    <col min="1" max="1" width="22.7109375" style="22" customWidth="1"/>
    <col min="2" max="2" width="13.28515625" style="22" customWidth="1"/>
    <col min="3" max="5" width="0" style="22" hidden="1" customWidth="1"/>
    <col min="6" max="6" width="16.7109375" style="22" customWidth="1"/>
    <col min="7" max="7" width="18.7109375" style="22" customWidth="1"/>
    <col min="8" max="11" width="10.28515625" style="22" customWidth="1"/>
    <col min="12" max="12" width="12.28515625" style="22" customWidth="1"/>
    <col min="13" max="14" width="10.28515625" style="22" customWidth="1"/>
    <col min="15" max="15" width="12.28515625" style="22" customWidth="1"/>
    <col min="16" max="17" width="10.28515625" style="22" customWidth="1"/>
    <col min="18" max="18" width="12.28515625" style="22" customWidth="1"/>
    <col min="19" max="20" width="10.28515625" style="22" customWidth="1"/>
    <col min="21" max="21" width="12.28515625" style="22" customWidth="1"/>
    <col min="22" max="23" width="10.28515625" style="22" customWidth="1"/>
    <col min="24" max="24" width="12.28515625" style="22" customWidth="1"/>
    <col min="25" max="25" width="10.28515625" style="22" customWidth="1"/>
    <col min="26" max="26" width="15.42578125" style="22" customWidth="1"/>
    <col min="27" max="30" width="10.28515625" style="22" customWidth="1"/>
    <col min="31" max="32" width="11.5703125" style="22" customWidth="1"/>
    <col min="33" max="34" width="10.28515625" style="22" customWidth="1"/>
    <col min="35" max="42" width="11.5703125" style="22" customWidth="1"/>
    <col min="43" max="44" width="10.28515625" style="22" customWidth="1"/>
    <col min="45" max="48" width="25.5703125" style="22" customWidth="1"/>
    <col min="49" max="55" width="13.140625" style="22" customWidth="1"/>
    <col min="56" max="57" width="25.5703125" style="22" customWidth="1"/>
    <col min="58" max="59" width="13.140625" style="22" customWidth="1"/>
    <col min="60" max="130" width="9.140625" style="9"/>
    <col min="131" max="16384" width="9.140625" style="22"/>
  </cols>
  <sheetData>
    <row r="1" spans="1:59" x14ac:dyDescent="0.2">
      <c r="A1" s="22" t="s">
        <v>417</v>
      </c>
    </row>
    <row r="2" spans="1:59" ht="53.25" customHeight="1" x14ac:dyDescent="0.2">
      <c r="A2" s="307" t="s">
        <v>582</v>
      </c>
      <c r="B2" s="307"/>
      <c r="C2" s="76"/>
      <c r="D2" s="76"/>
      <c r="E2" s="76"/>
      <c r="F2" s="274" t="s">
        <v>634</v>
      </c>
      <c r="G2" s="275"/>
      <c r="H2" s="275"/>
      <c r="I2" s="275"/>
      <c r="J2" s="231"/>
      <c r="K2" s="231"/>
      <c r="L2" s="231"/>
      <c r="M2" s="231"/>
      <c r="N2" s="231"/>
      <c r="O2" s="231"/>
      <c r="P2" s="232"/>
      <c r="Q2" s="232"/>
      <c r="R2" s="232"/>
      <c r="S2" s="232"/>
      <c r="T2" s="232"/>
      <c r="U2" s="232"/>
      <c r="V2" s="232"/>
      <c r="W2" s="232"/>
      <c r="X2" s="232"/>
      <c r="Y2" s="231"/>
      <c r="Z2" s="233"/>
      <c r="AA2" s="281" t="s">
        <v>522</v>
      </c>
      <c r="AB2" s="282"/>
      <c r="AC2" s="282"/>
      <c r="AD2" s="282"/>
      <c r="AE2" s="282"/>
      <c r="AF2" s="282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5"/>
      <c r="AS2" s="293" t="s">
        <v>502</v>
      </c>
      <c r="AT2" s="294"/>
      <c r="AU2" s="294"/>
      <c r="AV2" s="295"/>
      <c r="AW2" s="311" t="s">
        <v>619</v>
      </c>
      <c r="AX2" s="312"/>
      <c r="AY2" s="312"/>
      <c r="AZ2" s="312"/>
      <c r="BA2" s="312"/>
      <c r="BB2" s="312"/>
      <c r="BC2" s="313"/>
      <c r="BD2" s="300" t="s">
        <v>626</v>
      </c>
      <c r="BE2" s="301"/>
      <c r="BF2" s="301"/>
      <c r="BG2" s="318"/>
    </row>
    <row r="3" spans="1:59" ht="15" customHeight="1" x14ac:dyDescent="0.2">
      <c r="A3" s="307"/>
      <c r="B3" s="307"/>
      <c r="C3" s="76"/>
      <c r="D3" s="76"/>
      <c r="E3" s="76"/>
      <c r="F3" s="276" t="s">
        <v>508</v>
      </c>
      <c r="G3" s="277"/>
      <c r="H3" s="277"/>
      <c r="I3" s="277"/>
      <c r="J3" s="277"/>
      <c r="K3" s="277"/>
      <c r="L3" s="278"/>
      <c r="M3" s="276" t="s">
        <v>203</v>
      </c>
      <c r="N3" s="277"/>
      <c r="O3" s="278"/>
      <c r="P3" s="290" t="s">
        <v>394</v>
      </c>
      <c r="Q3" s="291"/>
      <c r="R3" s="291"/>
      <c r="S3" s="291"/>
      <c r="T3" s="291"/>
      <c r="U3" s="291"/>
      <c r="V3" s="291"/>
      <c r="W3" s="291"/>
      <c r="X3" s="291"/>
      <c r="Y3" s="276" t="s">
        <v>16</v>
      </c>
      <c r="Z3" s="278"/>
      <c r="AA3" s="283" t="s">
        <v>521</v>
      </c>
      <c r="AB3" s="283"/>
      <c r="AC3" s="279" t="s">
        <v>552</v>
      </c>
      <c r="AD3" s="283"/>
      <c r="AE3" s="279" t="s">
        <v>553</v>
      </c>
      <c r="AF3" s="283"/>
      <c r="AG3" s="279" t="s">
        <v>554</v>
      </c>
      <c r="AH3" s="283"/>
      <c r="AI3" s="279" t="s">
        <v>548</v>
      </c>
      <c r="AJ3" s="283"/>
      <c r="AK3" s="279" t="s">
        <v>600</v>
      </c>
      <c r="AL3" s="280"/>
      <c r="AM3" s="279" t="s">
        <v>549</v>
      </c>
      <c r="AN3" s="280"/>
      <c r="AO3" s="283" t="s">
        <v>550</v>
      </c>
      <c r="AP3" s="283"/>
      <c r="AQ3" s="279" t="s">
        <v>551</v>
      </c>
      <c r="AR3" s="280"/>
      <c r="AS3" s="298" t="s">
        <v>425</v>
      </c>
      <c r="AT3" s="296" t="s">
        <v>426</v>
      </c>
      <c r="AU3" s="297" t="s">
        <v>427</v>
      </c>
      <c r="AV3" s="299" t="s">
        <v>507</v>
      </c>
      <c r="AW3" s="35"/>
      <c r="AX3" s="38"/>
      <c r="AY3" s="38"/>
      <c r="AZ3" s="35"/>
      <c r="BA3" s="36"/>
      <c r="BB3" s="36"/>
      <c r="BC3" s="38"/>
      <c r="BD3" s="314" t="s">
        <v>555</v>
      </c>
      <c r="BE3" s="315"/>
      <c r="BF3" s="315"/>
      <c r="BG3" s="316"/>
    </row>
    <row r="4" spans="1:59" ht="29.45" customHeight="1" x14ac:dyDescent="0.2">
      <c r="A4" s="307"/>
      <c r="B4" s="307"/>
      <c r="C4" s="76"/>
      <c r="D4" s="76"/>
      <c r="E4" s="76"/>
      <c r="F4" s="271" t="s">
        <v>210</v>
      </c>
      <c r="G4" s="272"/>
      <c r="H4" s="272"/>
      <c r="I4" s="272"/>
      <c r="J4" s="272"/>
      <c r="K4" s="272"/>
      <c r="L4" s="273"/>
      <c r="M4" s="284" t="s">
        <v>211</v>
      </c>
      <c r="N4" s="285"/>
      <c r="O4" s="286"/>
      <c r="P4" s="285" t="s">
        <v>212</v>
      </c>
      <c r="Q4" s="285"/>
      <c r="R4" s="285"/>
      <c r="S4" s="287" t="s">
        <v>213</v>
      </c>
      <c r="T4" s="288"/>
      <c r="U4" s="289"/>
      <c r="V4" s="285" t="s">
        <v>395</v>
      </c>
      <c r="W4" s="285"/>
      <c r="X4" s="285"/>
      <c r="Y4" s="284" t="s">
        <v>411</v>
      </c>
      <c r="Z4" s="286"/>
      <c r="AA4" s="283"/>
      <c r="AB4" s="283"/>
      <c r="AC4" s="279"/>
      <c r="AD4" s="283"/>
      <c r="AE4" s="279"/>
      <c r="AF4" s="283"/>
      <c r="AG4" s="279"/>
      <c r="AH4" s="283"/>
      <c r="AI4" s="279"/>
      <c r="AJ4" s="283"/>
      <c r="AK4" s="279"/>
      <c r="AL4" s="280"/>
      <c r="AM4" s="279"/>
      <c r="AN4" s="280"/>
      <c r="AO4" s="283"/>
      <c r="AP4" s="283"/>
      <c r="AQ4" s="279"/>
      <c r="AR4" s="280"/>
      <c r="AS4" s="298"/>
      <c r="AT4" s="296"/>
      <c r="AU4" s="297"/>
      <c r="AV4" s="299"/>
      <c r="AW4" s="308" t="s">
        <v>508</v>
      </c>
      <c r="AX4" s="310"/>
      <c r="AY4" s="38"/>
      <c r="AZ4" s="308" t="s">
        <v>394</v>
      </c>
      <c r="BA4" s="309"/>
      <c r="BB4" s="309"/>
      <c r="BC4" s="310"/>
      <c r="BD4" s="314"/>
      <c r="BE4" s="315"/>
      <c r="BF4" s="315"/>
      <c r="BG4" s="316"/>
    </row>
    <row r="5" spans="1:59" ht="50.25" customHeight="1" x14ac:dyDescent="0.2">
      <c r="A5" s="32" t="s">
        <v>399</v>
      </c>
      <c r="B5" s="133" t="s">
        <v>415</v>
      </c>
      <c r="C5" s="34" t="s">
        <v>414</v>
      </c>
      <c r="D5" s="34" t="s">
        <v>413</v>
      </c>
      <c r="E5" s="34" t="s">
        <v>416</v>
      </c>
      <c r="F5" s="77" t="s">
        <v>436</v>
      </c>
      <c r="G5" s="27" t="s">
        <v>523</v>
      </c>
      <c r="H5" s="28" t="s">
        <v>574</v>
      </c>
      <c r="I5" s="27" t="s">
        <v>215</v>
      </c>
      <c r="J5" s="27" t="s">
        <v>214</v>
      </c>
      <c r="K5" s="27" t="s">
        <v>585</v>
      </c>
      <c r="L5" s="27" t="s">
        <v>584</v>
      </c>
      <c r="M5" s="29" t="s">
        <v>586</v>
      </c>
      <c r="N5" s="27" t="s">
        <v>587</v>
      </c>
      <c r="O5" s="31" t="s">
        <v>588</v>
      </c>
      <c r="P5" s="30" t="s">
        <v>589</v>
      </c>
      <c r="Q5" s="27" t="s">
        <v>590</v>
      </c>
      <c r="R5" s="30" t="s">
        <v>591</v>
      </c>
      <c r="S5" s="29" t="s">
        <v>592</v>
      </c>
      <c r="T5" s="27" t="s">
        <v>593</v>
      </c>
      <c r="U5" s="31" t="s">
        <v>594</v>
      </c>
      <c r="V5" s="30" t="s">
        <v>595</v>
      </c>
      <c r="W5" s="27" t="s">
        <v>596</v>
      </c>
      <c r="X5" s="27" t="s">
        <v>597</v>
      </c>
      <c r="Y5" s="29" t="s">
        <v>598</v>
      </c>
      <c r="Z5" s="31" t="s">
        <v>599</v>
      </c>
      <c r="AA5" s="25" t="s">
        <v>601</v>
      </c>
      <c r="AB5" s="25" t="s">
        <v>602</v>
      </c>
      <c r="AC5" s="24" t="s">
        <v>603</v>
      </c>
      <c r="AD5" s="25" t="s">
        <v>604</v>
      </c>
      <c r="AE5" s="24" t="s">
        <v>605</v>
      </c>
      <c r="AF5" s="25" t="s">
        <v>606</v>
      </c>
      <c r="AG5" s="24" t="s">
        <v>607</v>
      </c>
      <c r="AH5" s="25" t="s">
        <v>608</v>
      </c>
      <c r="AI5" s="24" t="s">
        <v>609</v>
      </c>
      <c r="AJ5" s="26" t="s">
        <v>610</v>
      </c>
      <c r="AK5" s="25" t="s">
        <v>611</v>
      </c>
      <c r="AL5" s="25" t="s">
        <v>612</v>
      </c>
      <c r="AM5" s="24" t="s">
        <v>613</v>
      </c>
      <c r="AN5" s="26" t="s">
        <v>614</v>
      </c>
      <c r="AO5" s="25" t="s">
        <v>615</v>
      </c>
      <c r="AP5" s="25" t="s">
        <v>616</v>
      </c>
      <c r="AQ5" s="24" t="s">
        <v>617</v>
      </c>
      <c r="AR5" s="26" t="s">
        <v>618</v>
      </c>
      <c r="AS5" s="112" t="s">
        <v>503</v>
      </c>
      <c r="AT5" s="112" t="s">
        <v>428</v>
      </c>
      <c r="AU5" s="112" t="s">
        <v>429</v>
      </c>
      <c r="AV5" s="108" t="s">
        <v>430</v>
      </c>
      <c r="AW5" s="37" t="s">
        <v>509</v>
      </c>
      <c r="AX5" s="171" t="s">
        <v>510</v>
      </c>
      <c r="AY5" s="171" t="s">
        <v>400</v>
      </c>
      <c r="AZ5" s="37" t="s">
        <v>401</v>
      </c>
      <c r="BA5" s="47" t="s">
        <v>402</v>
      </c>
      <c r="BB5" s="47" t="s">
        <v>403</v>
      </c>
      <c r="BC5" s="48" t="s">
        <v>404</v>
      </c>
      <c r="BD5" s="39" t="s">
        <v>511</v>
      </c>
      <c r="BE5" s="108" t="s">
        <v>546</v>
      </c>
      <c r="BF5" s="39" t="s">
        <v>622</v>
      </c>
      <c r="BG5" s="40" t="s">
        <v>623</v>
      </c>
    </row>
    <row r="6" spans="1:59" x14ac:dyDescent="0.2">
      <c r="A6" s="22" t="s">
        <v>376</v>
      </c>
      <c r="B6" s="22">
        <f>COUNTIF(Ohj.lask.[Maakunta],Maakunt.[[#This Row],[Maakunta]])</f>
        <v>1</v>
      </c>
      <c r="C6" s="22">
        <f>COUNTIFS(Ohj.lask.[Maakunta],Maakunt.[[#This Row],[Maakunta]],Ohj.lask.[Omistajatyyppi],"=yksityinen")</f>
        <v>0</v>
      </c>
      <c r="D6" s="22">
        <f>COUNTIFS(Ohj.lask.[Maakunta],Maakunt.[[#This Row],[Maakunta]],Ohj.lask.[Omistajatyyppi],"=kunta")</f>
        <v>0</v>
      </c>
      <c r="E6" s="22">
        <f>COUNTIFS(Ohj.lask.[Maakunta],Maakunt.[[#This Row],[Maakunta]],Ohj.lask.[Omistajatyyppi],"=kuntayhtymä")</f>
        <v>1</v>
      </c>
      <c r="F6" s="18">
        <f>SUMIF(Ohj.lask.[Maakunta],Maakunt.[[#This Row],[Maakunta]],Ohj.lask.[Järjestämisluvan opisk.vuosien vähimmäismäärä])</f>
        <v>2885</v>
      </c>
      <c r="G6" s="17">
        <f>SUMIF(Ohj.lask.[Maakunta],Maakunt.[[#This Row],[Maakunta]],Ohj.lask.[Suoritepäätöksellä jaettavat opisk.vuodet (luvan ylittävä osuus)])</f>
        <v>135</v>
      </c>
      <c r="H6" s="17">
        <f>SUMIF(Ohj.lask.[Maakunta],Maakunt.[[#This Row],[Maakunta]],Ohj.lask.[Tavoitteelliset opiskelija-vuodet])</f>
        <v>3020</v>
      </c>
      <c r="I6" s="80">
        <f>Maakunt.[[#This Row],[Painotetut opiskelija-vuodet]]/Maakunt.[[#This Row],[Tavoitteelliset opiskelija-vuodet]]</f>
        <v>1.036225165562914</v>
      </c>
      <c r="J6" s="81">
        <f>SUMIF(Ohj.lask.[Maakunta],Maakunt.[[#This Row],[Maakunta]],Ohj.lask.[Painotetut opiskelija-vuodet])</f>
        <v>3129.4</v>
      </c>
      <c r="K6" s="16">
        <f>SUMIF(Ohj.lask.[Maakunta],Maakunt.[[#This Row],[Maakunta]],Ohj.lask.[%-osuus 1])</f>
        <v>1.5282422528168032E-2</v>
      </c>
      <c r="L6" s="17">
        <f>SUMIF(Ohj.lask.[Maakunta],Maakunt.[[#This Row],[Maakunta]],Ohj.lask.[Jaettava € 1])</f>
        <v>19247768</v>
      </c>
      <c r="M6" s="18">
        <f>SUMIF(Ohj.lask.[Maakunta],Maakunt.[[#This Row],[Maakunta]],Ohj.lask.[Painotetut pisteet 2])</f>
        <v>254789.3</v>
      </c>
      <c r="N6" s="16">
        <f>SUMIF(Ohj.lask.[Maakunta],Maakunt.[[#This Row],[Maakunta]],Ohj.lask.[%-osuus 2])</f>
        <v>1.635646895534433E-2</v>
      </c>
      <c r="O6" s="17">
        <f>SUMIF(Ohj.lask.[Maakunta],Maakunt.[[#This Row],[Maakunta]],Ohj.lask.[Jaettava € 2])</f>
        <v>6005801</v>
      </c>
      <c r="P6" s="18">
        <f>SUMIF(Ohj.lask.[Maakunta],Maakunt.[[#This Row],[Maakunta]],Ohj.lask.[Painotetut pisteet 3])</f>
        <v>3343.5</v>
      </c>
      <c r="Q6" s="16">
        <f>SUMIF(Ohj.lask.[Maakunta],Maakunt.[[#This Row],[Maakunta]],Ohj.lask.[%-osuus 3])</f>
        <v>1.6799574320342035E-2</v>
      </c>
      <c r="R6" s="17">
        <f>SUMIF(Ohj.lask.[Maakunta],Maakunt.[[#This Row],[Maakunta]],Ohj.lask.[Jaettava € 3])</f>
        <v>2313188</v>
      </c>
      <c r="S6" s="18">
        <f>SUMIF(Ohj.lask.[Maakunta],Maakunt.[[#This Row],[Maakunta]],Ohj.lask.[Painotetut pisteet 4])</f>
        <v>25323.7</v>
      </c>
      <c r="T6" s="16">
        <f>SUMIF(Ohj.lask.[Maakunta],Maakunt.[[#This Row],[Maakunta]],Ohj.lask.[%-osuus 4])</f>
        <v>1.5384484535597088E-2</v>
      </c>
      <c r="U6" s="17">
        <f>SUMIF(Ohj.lask.[Maakunta],Maakunt.[[#This Row],[Maakunta]],Ohj.lask.[Jaettava € 4])</f>
        <v>176528</v>
      </c>
      <c r="V6" s="18">
        <f>SUMIF(Ohj.lask.[Maakunta],Maakunt.[[#This Row],[Maakunta]],Ohj.lask.[Painotetut pisteet 5])</f>
        <v>163311.79999999999</v>
      </c>
      <c r="W6" s="16">
        <f>SUMIF(Ohj.lask.[Maakunta],Maakunt.[[#This Row],[Maakunta]],Ohj.lask.[%-osuus 5])</f>
        <v>1.8942556955097622E-2</v>
      </c>
      <c r="X6" s="17">
        <f>SUMIF(Ohj.lask.[Maakunta],Maakunt.[[#This Row],[Maakunta]],Ohj.lask.[Jaettava € 5])</f>
        <v>652066</v>
      </c>
      <c r="Y6" s="19">
        <f>SUMIF(Ohj.lask.[Maakunta],Maakunt.[[#This Row],[Maakunta]],Ohj.lask.[%-osuus 6])</f>
        <v>1.5685924581894307E-2</v>
      </c>
      <c r="Z6" s="17">
        <f>SUMIF(Ohj.lask.[Maakunta],Maakunt.[[#This Row],[Maakunta]],Ohj.lask.[Jaettava € 6])</f>
        <v>28395351</v>
      </c>
      <c r="AA6" s="18">
        <f>SUMIF(Ohj.lask.[Maakunta],Maakunt.[[#This Row],[Maakunta]],Ohj.lask.[Hakemus, € 1])</f>
        <v>431200</v>
      </c>
      <c r="AB6" s="17">
        <f>SUMIF(Ohj.lask.[Maakunta],Maakunt.[[#This Row],[Maakunta]],Ohj.lask.[Päätös, € 1])</f>
        <v>0</v>
      </c>
      <c r="AC6" s="18">
        <f>SUMIF(Ohj.lask.[Maakunta],Maakunt.[[#This Row],[Maakunta]],Ohj.lask.[Hakemus, € 2])</f>
        <v>0</v>
      </c>
      <c r="AD6" s="17">
        <f>SUMIF(Ohj.lask.[Maakunta],Maakunt.[[#This Row],[Maakunta]],Ohj.lask.[Päätös, € 2])</f>
        <v>0</v>
      </c>
      <c r="AE6" s="18">
        <f>SUMIF(Ohj.lask.[Maakunta],Maakunt.[[#This Row],[Maakunta]],Ohj.lask.[Hakemus, € 3])</f>
        <v>0</v>
      </c>
      <c r="AF6" s="17">
        <f>SUMIF(Ohj.lask.[Maakunta],Maakunt.[[#This Row],[Maakunta]],Ohj.lask.[Päätös, € 3])</f>
        <v>0</v>
      </c>
      <c r="AG6" s="18">
        <f>SUMIF(Ohj.lask.[Maakunta],Maakunt.[[#This Row],[Maakunta]],Ohj.lask.[Hakemus, € 4])</f>
        <v>120000</v>
      </c>
      <c r="AH6" s="17">
        <f>SUMIF(Ohj.lask.[Maakunta],Maakunt.[[#This Row],[Maakunta]],Ohj.lask.[Päätös, € 4])</f>
        <v>0</v>
      </c>
      <c r="AI6" s="18">
        <f>SUMIF(Ohj.lask.[Maakunta],Maakunt.[[#This Row],[Maakunta]],Ohj.lask.[Hakemus, € 5])</f>
        <v>86100</v>
      </c>
      <c r="AJ6" s="23">
        <f>SUMIF(Ohj.lask.[Maakunta],Maakunt.[[#This Row],[Maakunta]],Ohj.lask.[Päätös, € 5])</f>
        <v>0</v>
      </c>
      <c r="AK6" s="18">
        <f>SUMIF(Ohj.lask.[Maakunta],Maakunt.[[#This Row],[Maakunta]],Ohj.lask.[Hakemus, € 6])</f>
        <v>1700000</v>
      </c>
      <c r="AL6" s="17">
        <f>SUMIF(Ohj.lask.[Maakunta],Maakunt.[[#This Row],[Maakunta]],Ohj.lask.[Päätös, € 6])</f>
        <v>0</v>
      </c>
      <c r="AM6" s="18">
        <f>SUMIF(Ohj.lask.[Maakunta],Maakunt.[[#This Row],[Maakunta]],Ohj.lask.[Hakemus, € 7])</f>
        <v>0</v>
      </c>
      <c r="AN6" s="23">
        <f>SUMIF(Ohj.lask.[Maakunta],Maakunt.[[#This Row],[Maakunta]],Ohj.lask.[Päätös, € 7])</f>
        <v>0</v>
      </c>
      <c r="AO6" s="17">
        <f>SUMIF(Ohj.lask.[Maakunta],Maakunt.[[#This Row],[Maakunta]],Ohj.lask.[Hakemus, € 8])</f>
        <v>15000</v>
      </c>
      <c r="AP6" s="17">
        <f>SUMIF(Ohj.lask.[Maakunta],Maakunt.[[#This Row],[Maakunta]],Ohj.lask.[Päätös, € 8])</f>
        <v>0</v>
      </c>
      <c r="AQ6" s="18">
        <f>Maakunt.[[#This Row],[Hakemus, € 1]]+Maakunt.[[#This Row],[Hakemus, € 2]]+Maakunt.[[#This Row],[Hakemus, € 3]]+Maakunt.[[#This Row],[Hakemus, € 4]]+Maakunt.[[#This Row],[Hakemus, € 5]]+Maakunt.[[#This Row],[Hakemus, € 6]]+Maakunt.[[#This Row],[Hakemus, € 7]]+Maakunt.[[#This Row],[Hakemus, € 8]]</f>
        <v>2352300</v>
      </c>
      <c r="AR6" s="17">
        <f>Maakunt.[[#This Row],[Päätös, € 1]]+Maakunt.[[#This Row],[Päätös, € 2]]+Maakunt.[[#This Row],[Päätös, € 3]]+Maakunt.[[#This Row],[Päätös, € 4]]+Maakunt.[[#This Row],[Päätös, € 5]]+Maakunt.[[#This Row],[Päätös, € 6]]+Maakunt.[[#This Row],[Päätös, € 7]]+Maakunt.[[#This Row],[Päätös, € 8]]</f>
        <v>0</v>
      </c>
      <c r="AS6" s="18">
        <f>SUMIF(Ohj.lask.[Maakunta],Maakunt.[[#This Row],[Maakunta]],Ohj.lask.[Suoriteperusteinen (opiskelijavuosiin perustuva) sekä harkinnanvarainen korotus, €])</f>
        <v>19247768</v>
      </c>
      <c r="AT6" s="18">
        <f>SUMIF(Ohj.lask.[Maakunta],Maakunt.[[#This Row],[Maakunta]],Ohj.lask.[Suoritusrahoitus, €])</f>
        <v>6005801</v>
      </c>
      <c r="AU6" s="18">
        <f>SUMIF(Ohj.lask.[Maakunta],Maakunt.[[#This Row],[Maakunta]],Ohj.lask.[Työllistymiseen ja jatko-opintoihin siirtymiseen perustuva sekä opiskelija-palautteisiin perustuva, €])</f>
        <v>3141782</v>
      </c>
      <c r="AV6" s="42">
        <f>SUMIF(Ohj.lask.[Maakunta],Maakunt.[[#This Row],[Maakunta]],Ohj.lask.[Perus-, suoritus- ja vaikuttavuusrahoitus yhteensä, €])</f>
        <v>28395351</v>
      </c>
      <c r="AW6" s="19">
        <f>Maakunt.[[#This Row],[Jaettava € 1]]/Maakunt.[[#This Row],[Perus-, suoritus- ja vaikuttavuusrahoitus yhteensä, €]]</f>
        <v>0.67784927187552635</v>
      </c>
      <c r="AX6" s="43">
        <f>Maakunt.[[#This Row],[Suoriteperusteinen (opiskelijavuosiin perustuva) sekä harkinnanvarainen korotus, €]]/Maakunt.[[#This Row],[Perus-, suoritus- ja vaikuttavuusrahoitus yhteensä, €]]</f>
        <v>0.67784927187552635</v>
      </c>
      <c r="AY6" s="49">
        <f>Maakunt.[[#This Row],[Suoritusrahoitus, €]]/Maakunt.[[#This Row],[Perus-, suoritus- ja vaikuttavuusrahoitus yhteensä, €]]</f>
        <v>0.21150648921367446</v>
      </c>
      <c r="AZ6" s="16">
        <f>Maakunt.[[#This Row],[Työllistymiseen ja jatko-opintoihin siirtymiseen perustuva sekä opiskelija-palautteisiin perustuva, €]]/Maakunt.[[#This Row],[Perus-, suoritus- ja vaikuttavuusrahoitus yhteensä, €]]</f>
        <v>0.11064423891079916</v>
      </c>
      <c r="BA6" s="16">
        <f>SUMIF(Ohj.lask.[Maakunta],Maakunt.[[#This Row],[Maakunta]],Ohj.lask.[Jaettava € 3])/Maakunt.[[#This Row],[Perus-, suoritus- ja vaikuttavuusrahoitus yhteensä, €]]</f>
        <v>8.146361705477774E-2</v>
      </c>
      <c r="BB6" s="16">
        <f>SUMIF(Ohj.lask.[Maakunta],Maakunt.[[#This Row],[Maakunta]],Ohj.lask.[Jaettava € 4])/Maakunt.[[#This Row],[Perus-, suoritus- ja vaikuttavuusrahoitus yhteensä, €]]</f>
        <v>6.2167923192778989E-3</v>
      </c>
      <c r="BC6" s="43">
        <f>SUMIF(Ohj.lask.[Maakunta],Maakunt.[[#This Row],[Maakunta]],Ohj.lask.[Jaettava € 5])/Maakunt.[[#This Row],[Perus-, suoritus- ja vaikuttavuusrahoitus yhteensä, €]]</f>
        <v>2.2963829536743533E-2</v>
      </c>
      <c r="BD6" s="18">
        <f>SUMIF(Vertailu[Maakunta],Maakunt.[[#This Row],[Maakunta]],Vertailu[Rahoitus ml. hark. kor. 
2020 ilman alv, €])</f>
        <v>29236092</v>
      </c>
      <c r="BE6" s="18">
        <f>SUMIF(Vertailu[Maakunta],Maakunt.[[#This Row],[Maakunta]],Vertailu[Rahoitus ml. hark. kor. 
2021 ilman alv, €])</f>
        <v>28395351</v>
      </c>
      <c r="BF6" s="18">
        <f>SUMIF(Vertailu[Maakunta],Maakunt.[[#This Row],[Maakunta]],Vertailu[Muutos, € 2])</f>
        <v>-840741</v>
      </c>
      <c r="BG6" s="43">
        <f>IFERROR(Maakunt.[[#This Row],[Muutos, € 2]]/Maakunt.[[#This Row],[Rahoitus ml. hark. kor. 
2020 ilman alv, €]],0)</f>
        <v>-2.8756955614998064E-2</v>
      </c>
    </row>
    <row r="7" spans="1:59" x14ac:dyDescent="0.2">
      <c r="A7" s="22" t="s">
        <v>249</v>
      </c>
      <c r="B7" s="22">
        <f>COUNTIF(Ohj.lask.[Maakunta],Maakunt.[[#This Row],[Maakunta]])</f>
        <v>6</v>
      </c>
      <c r="C7" s="22">
        <f>COUNTIFS(Ohj.lask.[Maakunta],Maakunt.[[#This Row],[Maakunta]],Ohj.lask.[Omistajatyyppi],"=yksityinen")</f>
        <v>3</v>
      </c>
      <c r="D7" s="22">
        <f>COUNTIFS(Ohj.lask.[Maakunta],Maakunt.[[#This Row],[Maakunta]],Ohj.lask.[Omistajatyyppi],"=kunta")</f>
        <v>0</v>
      </c>
      <c r="E7" s="22">
        <f>COUNTIFS(Ohj.lask.[Maakunta],Maakunt.[[#This Row],[Maakunta]],Ohj.lask.[Omistajatyyppi],"=kuntayhtymä")</f>
        <v>3</v>
      </c>
      <c r="F7" s="18">
        <f>SUMIF(Ohj.lask.[Maakunta],Maakunt.[[#This Row],[Maakunta]],Ohj.lask.[Järjestämisluvan opisk.vuosien vähimmäismäärä])</f>
        <v>5902</v>
      </c>
      <c r="G7" s="17">
        <f>SUMIF(Ohj.lask.[Maakunta],Maakunt.[[#This Row],[Maakunta]],Ohj.lask.[Suoritepäätöksellä jaettavat opisk.vuodet (luvan ylittävä osuus)])</f>
        <v>896</v>
      </c>
      <c r="H7" s="17">
        <f>SUMIF(Ohj.lask.[Maakunta],Maakunt.[[#This Row],[Maakunta]],Ohj.lask.[Tavoitteelliset opiskelija-vuodet])</f>
        <v>6798</v>
      </c>
      <c r="I7" s="80">
        <f>Maakunt.[[#This Row],[Painotetut opiskelija-vuodet]]/Maakunt.[[#This Row],[Tavoitteelliset opiskelija-vuodet]]</f>
        <v>1.0782288908502502</v>
      </c>
      <c r="J7" s="81">
        <f>SUMIF(Ohj.lask.[Maakunta],Maakunt.[[#This Row],[Maakunta]],Ohj.lask.[Painotetut opiskelija-vuodet])</f>
        <v>7329.8</v>
      </c>
      <c r="K7" s="16">
        <f>SUMIF(Ohj.lask.[Maakunta],Maakunt.[[#This Row],[Maakunta]],Ohj.lask.[%-osuus 1])</f>
        <v>3.5795072744604729E-2</v>
      </c>
      <c r="L7" s="17">
        <f>SUMIF(Ohj.lask.[Maakunta],Maakunt.[[#This Row],[Maakunta]],Ohj.lask.[Jaettava € 1])</f>
        <v>45082856</v>
      </c>
      <c r="M7" s="18">
        <f>SUMIF(Ohj.lask.[Maakunta],Maakunt.[[#This Row],[Maakunta]],Ohj.lask.[Painotetut pisteet 2])</f>
        <v>603906.30000000005</v>
      </c>
      <c r="N7" s="16">
        <f>SUMIF(Ohj.lask.[Maakunta],Maakunt.[[#This Row],[Maakunta]],Ohj.lask.[%-osuus 2])</f>
        <v>3.8768404512618308E-2</v>
      </c>
      <c r="O7" s="17">
        <f>SUMIF(Ohj.lask.[Maakunta],Maakunt.[[#This Row],[Maakunta]],Ohj.lask.[Jaettava € 2])</f>
        <v>14235060</v>
      </c>
      <c r="P7" s="18">
        <f>SUMIF(Ohj.lask.[Maakunta],Maakunt.[[#This Row],[Maakunta]],Ohj.lask.[Painotetut pisteet 3])</f>
        <v>8123.1999999999989</v>
      </c>
      <c r="Q7" s="16">
        <f>SUMIF(Ohj.lask.[Maakunta],Maakunt.[[#This Row],[Maakunta]],Ohj.lask.[%-osuus 3])</f>
        <v>4.0815403654554334E-2</v>
      </c>
      <c r="R7" s="17">
        <f>SUMIF(Ohj.lask.[Maakunta],Maakunt.[[#This Row],[Maakunta]],Ohj.lask.[Jaettava € 3])</f>
        <v>5620005</v>
      </c>
      <c r="S7" s="18">
        <f>SUMIF(Ohj.lask.[Maakunta],Maakunt.[[#This Row],[Maakunta]],Ohj.lask.[Painotetut pisteet 4])</f>
        <v>73270.5</v>
      </c>
      <c r="T7" s="16">
        <f>SUMIF(Ohj.lask.[Maakunta],Maakunt.[[#This Row],[Maakunta]],Ohj.lask.[%-osuus 4])</f>
        <v>4.4512803190902853E-2</v>
      </c>
      <c r="U7" s="17">
        <f>SUMIF(Ohj.lask.[Maakunta],Maakunt.[[#This Row],[Maakunta]],Ohj.lask.[Jaettava € 4])</f>
        <v>510758</v>
      </c>
      <c r="V7" s="18">
        <f>SUMIF(Ohj.lask.[Maakunta],Maakunt.[[#This Row],[Maakunta]],Ohj.lask.[Painotetut pisteet 5])</f>
        <v>410352</v>
      </c>
      <c r="W7" s="16">
        <f>SUMIF(Ohj.lask.[Maakunta],Maakunt.[[#This Row],[Maakunta]],Ohj.lask.[%-osuus 5])</f>
        <v>4.7596781932709213E-2</v>
      </c>
      <c r="X7" s="17">
        <f>SUMIF(Ohj.lask.[Maakunta],Maakunt.[[#This Row],[Maakunta]],Ohj.lask.[Jaettava € 5])</f>
        <v>1638439</v>
      </c>
      <c r="Y7" s="19">
        <f>SUMIF(Ohj.lask.[Maakunta],Maakunt.[[#This Row],[Maakunta]],Ohj.lask.[%-osuus 6])</f>
        <v>3.7059709998465737E-2</v>
      </c>
      <c r="Z7" s="17">
        <f>SUMIF(Ohj.lask.[Maakunta],Maakunt.[[#This Row],[Maakunta]],Ohj.lask.[Jaettava € 6])</f>
        <v>67087118</v>
      </c>
      <c r="AA7" s="18">
        <f>SUMIF(Ohj.lask.[Maakunta],Maakunt.[[#This Row],[Maakunta]],Ohj.lask.[Hakemus, € 1])</f>
        <v>220000</v>
      </c>
      <c r="AB7" s="17">
        <f>SUMIF(Ohj.lask.[Maakunta],Maakunt.[[#This Row],[Maakunta]],Ohj.lask.[Päätös, € 1])</f>
        <v>0</v>
      </c>
      <c r="AC7" s="18">
        <f>SUMIF(Ohj.lask.[Maakunta],Maakunt.[[#This Row],[Maakunta]],Ohj.lask.[Hakemus, € 2])</f>
        <v>0</v>
      </c>
      <c r="AD7" s="17">
        <f>SUMIF(Ohj.lask.[Maakunta],Maakunt.[[#This Row],[Maakunta]],Ohj.lask.[Päätös, € 2])</f>
        <v>0</v>
      </c>
      <c r="AE7" s="18">
        <f>SUMIF(Ohj.lask.[Maakunta],Maakunt.[[#This Row],[Maakunta]],Ohj.lask.[Hakemus, € 3])</f>
        <v>420000</v>
      </c>
      <c r="AF7" s="17">
        <f>SUMIF(Ohj.lask.[Maakunta],Maakunt.[[#This Row],[Maakunta]],Ohj.lask.[Päätös, € 3])</f>
        <v>0</v>
      </c>
      <c r="AG7" s="18">
        <f>SUMIF(Ohj.lask.[Maakunta],Maakunt.[[#This Row],[Maakunta]],Ohj.lask.[Hakemus, € 4])</f>
        <v>1440000</v>
      </c>
      <c r="AH7" s="17">
        <f>SUMIF(Ohj.lask.[Maakunta],Maakunt.[[#This Row],[Maakunta]],Ohj.lask.[Päätös, € 4])</f>
        <v>0</v>
      </c>
      <c r="AI7" s="18">
        <f>SUMIF(Ohj.lask.[Maakunta],Maakunt.[[#This Row],[Maakunta]],Ohj.lask.[Hakemus, € 5])</f>
        <v>0</v>
      </c>
      <c r="AJ7" s="23">
        <f>SUMIF(Ohj.lask.[Maakunta],Maakunt.[[#This Row],[Maakunta]],Ohj.lask.[Päätös, € 5])</f>
        <v>0</v>
      </c>
      <c r="AK7" s="18">
        <f>SUMIF(Ohj.lask.[Maakunta],Maakunt.[[#This Row],[Maakunta]],Ohj.lask.[Hakemus, € 6])</f>
        <v>0</v>
      </c>
      <c r="AL7" s="17">
        <f>SUMIF(Ohj.lask.[Maakunta],Maakunt.[[#This Row],[Maakunta]],Ohj.lask.[Päätös, € 6])</f>
        <v>0</v>
      </c>
      <c r="AM7" s="18">
        <f>SUMIF(Ohj.lask.[Maakunta],Maakunt.[[#This Row],[Maakunta]],Ohj.lask.[Hakemus, € 7])</f>
        <v>384000</v>
      </c>
      <c r="AN7" s="23">
        <f>SUMIF(Ohj.lask.[Maakunta],Maakunt.[[#This Row],[Maakunta]],Ohj.lask.[Päätös, € 7])</f>
        <v>200000</v>
      </c>
      <c r="AO7" s="17">
        <f>SUMIF(Ohj.lask.[Maakunta],Maakunt.[[#This Row],[Maakunta]],Ohj.lask.[Hakemus, € 8])</f>
        <v>30000</v>
      </c>
      <c r="AP7" s="17">
        <f>SUMIF(Ohj.lask.[Maakunta],Maakunt.[[#This Row],[Maakunta]],Ohj.lask.[Päätös, € 8])</f>
        <v>12000</v>
      </c>
      <c r="AQ7" s="18">
        <f>Maakunt.[[#This Row],[Hakemus, € 1]]+Maakunt.[[#This Row],[Hakemus, € 2]]+Maakunt.[[#This Row],[Hakemus, € 3]]+Maakunt.[[#This Row],[Hakemus, € 4]]+Maakunt.[[#This Row],[Hakemus, € 5]]+Maakunt.[[#This Row],[Hakemus, € 6]]+Maakunt.[[#This Row],[Hakemus, € 7]]+Maakunt.[[#This Row],[Hakemus, € 8]]</f>
        <v>2494000</v>
      </c>
      <c r="AR7" s="17">
        <f>Maakunt.[[#This Row],[Päätös, € 1]]+Maakunt.[[#This Row],[Päätös, € 2]]+Maakunt.[[#This Row],[Päätös, € 3]]+Maakunt.[[#This Row],[Päätös, € 4]]+Maakunt.[[#This Row],[Päätös, € 5]]+Maakunt.[[#This Row],[Päätös, € 6]]+Maakunt.[[#This Row],[Päätös, € 7]]+Maakunt.[[#This Row],[Päätös, € 8]]</f>
        <v>212000</v>
      </c>
      <c r="AS7" s="18">
        <f>SUMIF(Ohj.lask.[Maakunta],Maakunt.[[#This Row],[Maakunta]],Ohj.lask.[Suoriteperusteinen (opiskelijavuosiin perustuva) sekä harkinnanvarainen korotus, €])</f>
        <v>45294856</v>
      </c>
      <c r="AT7" s="18">
        <f>SUMIF(Ohj.lask.[Maakunta],Maakunt.[[#This Row],[Maakunta]],Ohj.lask.[Suoritusrahoitus, €])</f>
        <v>14235060</v>
      </c>
      <c r="AU7" s="18">
        <f>SUMIF(Ohj.lask.[Maakunta],Maakunt.[[#This Row],[Maakunta]],Ohj.lask.[Työllistymiseen ja jatko-opintoihin siirtymiseen perustuva sekä opiskelija-palautteisiin perustuva, €])</f>
        <v>7769202</v>
      </c>
      <c r="AV7" s="42">
        <f>SUMIF(Ohj.lask.[Maakunta],Maakunt.[[#This Row],[Maakunta]],Ohj.lask.[Perus-, suoritus- ja vaikuttavuusrahoitus yhteensä, €])</f>
        <v>67299118</v>
      </c>
      <c r="AW7" s="19">
        <f>Maakunt.[[#This Row],[Jaettava € 1]]/Maakunt.[[#This Row],[Perus-, suoritus- ja vaikuttavuusrahoitus yhteensä, €]]</f>
        <v>0.66988776881147238</v>
      </c>
      <c r="AX7" s="16">
        <f>Maakunt.[[#This Row],[Suoriteperusteinen (opiskelijavuosiin perustuva) sekä harkinnanvarainen korotus, €]]/Maakunt.[[#This Row],[Perus-, suoritus- ja vaikuttavuusrahoitus yhteensä, €]]</f>
        <v>0.67303788438951018</v>
      </c>
      <c r="AY7" s="49">
        <f>Maakunt.[[#This Row],[Suoritusrahoitus, €]]/Maakunt.[[#This Row],[Perus-, suoritus- ja vaikuttavuusrahoitus yhteensä, €]]</f>
        <v>0.21151926537878252</v>
      </c>
      <c r="AZ7" s="16">
        <f>Maakunt.[[#This Row],[Työllistymiseen ja jatko-opintoihin siirtymiseen perustuva sekä opiskelija-palautteisiin perustuva, €]]/Maakunt.[[#This Row],[Perus-, suoritus- ja vaikuttavuusrahoitus yhteensä, €]]</f>
        <v>0.11544285023170735</v>
      </c>
      <c r="BA7" s="16">
        <f>SUMIF(Ohj.lask.[Maakunta],Maakunt.[[#This Row],[Maakunta]],Ohj.lask.[Jaettava € 3])/Maakunt.[[#This Row],[Perus-, suoritus- ja vaikuttavuusrahoitus yhteensä, €]]</f>
        <v>8.350785518466973E-2</v>
      </c>
      <c r="BB7" s="16">
        <f>SUMIF(Ohj.lask.[Maakunta],Maakunt.[[#This Row],[Maakunta]],Ohj.lask.[Jaettava € 4])/Maakunt.[[#This Row],[Perus-, suoritus- ja vaikuttavuusrahoitus yhteensä, €]]</f>
        <v>7.5893713792801864E-3</v>
      </c>
      <c r="BC7" s="43">
        <f>SUMIF(Ohj.lask.[Maakunta],Maakunt.[[#This Row],[Maakunta]],Ohj.lask.[Jaettava € 5])/Maakunt.[[#This Row],[Perus-, suoritus- ja vaikuttavuusrahoitus yhteensä, €]]</f>
        <v>2.4345623667757429E-2</v>
      </c>
      <c r="BD7" s="18">
        <f>SUMIF(Vertailu[Maakunta],Maakunt.[[#This Row],[Maakunta]],Vertailu[Rahoitus ml. hark. kor. 
2020 ilman alv, €])</f>
        <v>64431533</v>
      </c>
      <c r="BE7" s="18">
        <f>SUMIF(Vertailu[Maakunta],Maakunt.[[#This Row],[Maakunta]],Vertailu[Rahoitus ml. hark. kor. 
2021 ilman alv, €])</f>
        <v>67299118</v>
      </c>
      <c r="BF7" s="18">
        <f>SUMIF(Vertailu[Maakunta],Maakunt.[[#This Row],[Maakunta]],Vertailu[Muutos, € 2])</f>
        <v>2867585</v>
      </c>
      <c r="BG7" s="43">
        <f>IFERROR(Maakunt.[[#This Row],[Muutos, € 2]]/Maakunt.[[#This Row],[Rahoitus ml. hark. kor. 
2020 ilman alv, €]],0)</f>
        <v>4.4505925382840109E-2</v>
      </c>
    </row>
    <row r="8" spans="1:59" x14ac:dyDescent="0.2">
      <c r="A8" s="22" t="s">
        <v>250</v>
      </c>
      <c r="B8" s="22">
        <f>COUNTIF(Ohj.lask.[Maakunta],Maakunt.[[#This Row],[Maakunta]])</f>
        <v>5</v>
      </c>
      <c r="C8" s="22">
        <f>COUNTIFS(Ohj.lask.[Maakunta],Maakunt.[[#This Row],[Maakunta]],Ohj.lask.[Omistajatyyppi],"=yksityinen")</f>
        <v>4</v>
      </c>
      <c r="D8" s="22">
        <f>COUNTIFS(Ohj.lask.[Maakunta],Maakunt.[[#This Row],[Maakunta]],Ohj.lask.[Omistajatyyppi],"=kunta")</f>
        <v>0</v>
      </c>
      <c r="E8" s="22">
        <f>COUNTIFS(Ohj.lask.[Maakunta],Maakunt.[[#This Row],[Maakunta]],Ohj.lask.[Omistajatyyppi],"=kuntayhtymä")</f>
        <v>1</v>
      </c>
      <c r="F8" s="18">
        <f>SUMIF(Ohj.lask.[Maakunta],Maakunt.[[#This Row],[Maakunta]],Ohj.lask.[Järjestämisluvan opisk.vuosien vähimmäismäärä])</f>
        <v>4024</v>
      </c>
      <c r="G8" s="17">
        <f>SUMIF(Ohj.lask.[Maakunta],Maakunt.[[#This Row],[Maakunta]],Ohj.lask.[Suoritepäätöksellä jaettavat opisk.vuodet (luvan ylittävä osuus)])</f>
        <v>316</v>
      </c>
      <c r="H8" s="17">
        <f>SUMIF(Ohj.lask.[Maakunta],Maakunt.[[#This Row],[Maakunta]],Ohj.lask.[Tavoitteelliset opiskelija-vuodet])</f>
        <v>4340</v>
      </c>
      <c r="I8" s="80">
        <f>Maakunt.[[#This Row],[Painotetut opiskelija-vuodet]]/Maakunt.[[#This Row],[Tavoitteelliset opiskelija-vuodet]]</f>
        <v>1.1295622119815671</v>
      </c>
      <c r="J8" s="81">
        <f>SUMIF(Ohj.lask.[Maakunta],Maakunt.[[#This Row],[Maakunta]],Ohj.lask.[Painotetut opiskelija-vuodet])</f>
        <v>4902.3000000000011</v>
      </c>
      <c r="K8" s="16">
        <f>SUMIF(Ohj.lask.[Maakunta],Maakunt.[[#This Row],[Maakunta]],Ohj.lask.[%-osuus 1])</f>
        <v>2.3940378334453293E-2</v>
      </c>
      <c r="L8" s="17">
        <f>SUMIF(Ohj.lask.[Maakunta],Maakunt.[[#This Row],[Maakunta]],Ohj.lask.[Jaettava € 1])</f>
        <v>30152213</v>
      </c>
      <c r="M8" s="18">
        <f>SUMIF(Ohj.lask.[Maakunta],Maakunt.[[#This Row],[Maakunta]],Ohj.lask.[Painotetut pisteet 2])</f>
        <v>424528.1</v>
      </c>
      <c r="N8" s="16">
        <f>SUMIF(Ohj.lask.[Maakunta],Maakunt.[[#This Row],[Maakunta]],Ohj.lask.[%-osuus 2])</f>
        <v>2.725303098804115E-2</v>
      </c>
      <c r="O8" s="17">
        <f>SUMIF(Ohj.lask.[Maakunta],Maakunt.[[#This Row],[Maakunta]],Ohj.lask.[Jaettava € 2])</f>
        <v>10006822</v>
      </c>
      <c r="P8" s="18">
        <f>SUMIF(Ohj.lask.[Maakunta],Maakunt.[[#This Row],[Maakunta]],Ohj.lask.[Painotetut pisteet 3])</f>
        <v>5406.2999999999993</v>
      </c>
      <c r="Q8" s="16">
        <f>SUMIF(Ohj.lask.[Maakunta],Maakunt.[[#This Row],[Maakunta]],Ohj.lask.[%-osuus 3])</f>
        <v>2.7164210751627088E-2</v>
      </c>
      <c r="R8" s="17">
        <f>SUMIF(Ohj.lask.[Maakunta],Maakunt.[[#This Row],[Maakunta]],Ohj.lask.[Jaettava € 3])</f>
        <v>3740327</v>
      </c>
      <c r="S8" s="18">
        <f>SUMIF(Ohj.lask.[Maakunta],Maakunt.[[#This Row],[Maakunta]],Ohj.lask.[Painotetut pisteet 4])</f>
        <v>33748.200000000004</v>
      </c>
      <c r="T8" s="16">
        <f>SUMIF(Ohj.lask.[Maakunta],Maakunt.[[#This Row],[Maakunta]],Ohj.lask.[%-osuus 4])</f>
        <v>2.0502480324922412E-2</v>
      </c>
      <c r="U8" s="17">
        <f>SUMIF(Ohj.lask.[Maakunta],Maakunt.[[#This Row],[Maakunta]],Ohj.lask.[Jaettava € 4])</f>
        <v>235255</v>
      </c>
      <c r="V8" s="18">
        <f>SUMIF(Ohj.lask.[Maakunta],Maakunt.[[#This Row],[Maakunta]],Ohj.lask.[Painotetut pisteet 5])</f>
        <v>204949.4</v>
      </c>
      <c r="W8" s="16">
        <f>SUMIF(Ohj.lask.[Maakunta],Maakunt.[[#This Row],[Maakunta]],Ohj.lask.[%-osuus 5])</f>
        <v>2.3772107602837551E-2</v>
      </c>
      <c r="X8" s="17">
        <f>SUMIF(Ohj.lask.[Maakunta],Maakunt.[[#This Row],[Maakunta]],Ohj.lask.[Jaettava € 5])</f>
        <v>818315</v>
      </c>
      <c r="Y8" s="19">
        <f>SUMIF(Ohj.lask.[Maakunta],Maakunt.[[#This Row],[Maakunta]],Ohj.lask.[%-osuus 6])</f>
        <v>2.4832526320488983E-2</v>
      </c>
      <c r="Z8" s="17">
        <f>SUMIF(Ohj.lask.[Maakunta],Maakunt.[[#This Row],[Maakunta]],Ohj.lask.[Jaettava € 6])</f>
        <v>44952932</v>
      </c>
      <c r="AA8" s="18">
        <f>SUMIF(Ohj.lask.[Maakunta],Maakunt.[[#This Row],[Maakunta]],Ohj.lask.[Hakemus, € 1])</f>
        <v>0</v>
      </c>
      <c r="AB8" s="17">
        <f>SUMIF(Ohj.lask.[Maakunta],Maakunt.[[#This Row],[Maakunta]],Ohj.lask.[Päätös, € 1])</f>
        <v>0</v>
      </c>
      <c r="AC8" s="18">
        <f>SUMIF(Ohj.lask.[Maakunta],Maakunt.[[#This Row],[Maakunta]],Ohj.lask.[Hakemus, € 2])</f>
        <v>20000</v>
      </c>
      <c r="AD8" s="17">
        <f>SUMIF(Ohj.lask.[Maakunta],Maakunt.[[#This Row],[Maakunta]],Ohj.lask.[Päätös, € 2])</f>
        <v>0</v>
      </c>
      <c r="AE8" s="18">
        <f>SUMIF(Ohj.lask.[Maakunta],Maakunt.[[#This Row],[Maakunta]],Ohj.lask.[Hakemus, € 3])</f>
        <v>0</v>
      </c>
      <c r="AF8" s="17">
        <f>SUMIF(Ohj.lask.[Maakunta],Maakunt.[[#This Row],[Maakunta]],Ohj.lask.[Päätös, € 3])</f>
        <v>0</v>
      </c>
      <c r="AG8" s="18">
        <f>SUMIF(Ohj.lask.[Maakunta],Maakunt.[[#This Row],[Maakunta]],Ohj.lask.[Hakemus, € 4])</f>
        <v>283000</v>
      </c>
      <c r="AH8" s="17">
        <f>SUMIF(Ohj.lask.[Maakunta],Maakunt.[[#This Row],[Maakunta]],Ohj.lask.[Päätös, € 4])</f>
        <v>0</v>
      </c>
      <c r="AI8" s="18">
        <f>SUMIF(Ohj.lask.[Maakunta],Maakunt.[[#This Row],[Maakunta]],Ohj.lask.[Hakemus, € 5])</f>
        <v>0</v>
      </c>
      <c r="AJ8" s="23">
        <f>SUMIF(Ohj.lask.[Maakunta],Maakunt.[[#This Row],[Maakunta]],Ohj.lask.[Päätös, € 5])</f>
        <v>0</v>
      </c>
      <c r="AK8" s="18">
        <f>SUMIF(Ohj.lask.[Maakunta],Maakunt.[[#This Row],[Maakunta]],Ohj.lask.[Hakemus, € 6])</f>
        <v>0</v>
      </c>
      <c r="AL8" s="17">
        <f>SUMIF(Ohj.lask.[Maakunta],Maakunt.[[#This Row],[Maakunta]],Ohj.lask.[Päätös, € 6])</f>
        <v>0</v>
      </c>
      <c r="AM8" s="18">
        <f>SUMIF(Ohj.lask.[Maakunta],Maakunt.[[#This Row],[Maakunta]],Ohj.lask.[Hakemus, € 7])</f>
        <v>232000</v>
      </c>
      <c r="AN8" s="23">
        <f>SUMIF(Ohj.lask.[Maakunta],Maakunt.[[#This Row],[Maakunta]],Ohj.lask.[Päätös, € 7])</f>
        <v>25000</v>
      </c>
      <c r="AO8" s="17">
        <f>SUMIF(Ohj.lask.[Maakunta],Maakunt.[[#This Row],[Maakunta]],Ohj.lask.[Hakemus, € 8])</f>
        <v>0</v>
      </c>
      <c r="AP8" s="17">
        <f>SUMIF(Ohj.lask.[Maakunta],Maakunt.[[#This Row],[Maakunta]],Ohj.lask.[Päätös, € 8])</f>
        <v>0</v>
      </c>
      <c r="AQ8" s="18">
        <f>Maakunt.[[#This Row],[Hakemus, € 1]]+Maakunt.[[#This Row],[Hakemus, € 2]]+Maakunt.[[#This Row],[Hakemus, € 3]]+Maakunt.[[#This Row],[Hakemus, € 4]]+Maakunt.[[#This Row],[Hakemus, € 5]]+Maakunt.[[#This Row],[Hakemus, € 6]]+Maakunt.[[#This Row],[Hakemus, € 7]]+Maakunt.[[#This Row],[Hakemus, € 8]]</f>
        <v>535000</v>
      </c>
      <c r="AR8" s="17">
        <f>Maakunt.[[#This Row],[Päätös, € 1]]+Maakunt.[[#This Row],[Päätös, € 2]]+Maakunt.[[#This Row],[Päätös, € 3]]+Maakunt.[[#This Row],[Päätös, € 4]]+Maakunt.[[#This Row],[Päätös, € 5]]+Maakunt.[[#This Row],[Päätös, € 6]]+Maakunt.[[#This Row],[Päätös, € 7]]+Maakunt.[[#This Row],[Päätös, € 8]]</f>
        <v>25000</v>
      </c>
      <c r="AS8" s="18">
        <f>SUMIF(Ohj.lask.[Maakunta],Maakunt.[[#This Row],[Maakunta]],Ohj.lask.[Suoriteperusteinen (opiskelijavuosiin perustuva) sekä harkinnanvarainen korotus, €])</f>
        <v>30177213</v>
      </c>
      <c r="AT8" s="18">
        <f>SUMIF(Ohj.lask.[Maakunta],Maakunt.[[#This Row],[Maakunta]],Ohj.lask.[Suoritusrahoitus, €])</f>
        <v>10006822</v>
      </c>
      <c r="AU8" s="18">
        <f>SUMIF(Ohj.lask.[Maakunta],Maakunt.[[#This Row],[Maakunta]],Ohj.lask.[Työllistymiseen ja jatko-opintoihin siirtymiseen perustuva sekä opiskelija-palautteisiin perustuva, €])</f>
        <v>4793897</v>
      </c>
      <c r="AV8" s="42">
        <f>SUMIF(Ohj.lask.[Maakunta],Maakunt.[[#This Row],[Maakunta]],Ohj.lask.[Perus-, suoritus- ja vaikuttavuusrahoitus yhteensä, €])</f>
        <v>44977932</v>
      </c>
      <c r="AW8" s="19">
        <f>Maakunt.[[#This Row],[Jaettava € 1]]/Maakunt.[[#This Row],[Perus-, suoritus- ja vaikuttavuusrahoitus yhteensä, €]]</f>
        <v>0.67037793111519672</v>
      </c>
      <c r="AX8" s="16">
        <f>Maakunt.[[#This Row],[Suoriteperusteinen (opiskelijavuosiin perustuva) sekä harkinnanvarainen korotus, €]]/Maakunt.[[#This Row],[Perus-, suoritus- ja vaikuttavuusrahoitus yhteensä, €]]</f>
        <v>0.670933759248869</v>
      </c>
      <c r="AY8" s="49">
        <f>Maakunt.[[#This Row],[Suoritusrahoitus, €]]/Maakunt.[[#This Row],[Perus-, suoritus- ja vaikuttavuusrahoitus yhteensä, €]]</f>
        <v>0.22248292785003987</v>
      </c>
      <c r="AZ8" s="16">
        <f>Maakunt.[[#This Row],[Työllistymiseen ja jatko-opintoihin siirtymiseen perustuva sekä opiskelija-palautteisiin perustuva, €]]/Maakunt.[[#This Row],[Perus-, suoritus- ja vaikuttavuusrahoitus yhteensä, €]]</f>
        <v>0.10658331290109115</v>
      </c>
      <c r="BA8" s="16">
        <f>SUMIF(Ohj.lask.[Maakunta],Maakunt.[[#This Row],[Maakunta]],Ohj.lask.[Jaettava € 3])/Maakunt.[[#This Row],[Perus-, suoritus- ja vaikuttavuusrahoitus yhteensä, €]]</f>
        <v>8.3159159029365784E-2</v>
      </c>
      <c r="BB8" s="16">
        <f>SUMIF(Ohj.lask.[Maakunta],Maakunt.[[#This Row],[Maakunta]],Ohj.lask.[Jaettava € 4])/Maakunt.[[#This Row],[Perus-, suoritus- ja vaikuttavuusrahoitus yhteensä, €]]</f>
        <v>5.2304539034831567E-3</v>
      </c>
      <c r="BC8" s="43">
        <f>SUMIF(Ohj.lask.[Maakunta],Maakunt.[[#This Row],[Maakunta]],Ohj.lask.[Jaettava € 5])/Maakunt.[[#This Row],[Perus-, suoritus- ja vaikuttavuusrahoitus yhteensä, €]]</f>
        <v>1.8193699968242202E-2</v>
      </c>
      <c r="BD8" s="18">
        <f>SUMIF(Vertailu[Maakunta],Maakunt.[[#This Row],[Maakunta]],Vertailu[Rahoitus ml. hark. kor. 
2020 ilman alv, €])</f>
        <v>43995178</v>
      </c>
      <c r="BE8" s="18">
        <f>SUMIF(Vertailu[Maakunta],Maakunt.[[#This Row],[Maakunta]],Vertailu[Rahoitus ml. hark. kor. 
2021 ilman alv, €])</f>
        <v>44977932</v>
      </c>
      <c r="BF8" s="18">
        <f>SUMIF(Vertailu[Maakunta],Maakunt.[[#This Row],[Maakunta]],Vertailu[Muutos, € 2])</f>
        <v>982754</v>
      </c>
      <c r="BG8" s="43">
        <f>IFERROR(Maakunt.[[#This Row],[Muutos, € 2]]/Maakunt.[[#This Row],[Rahoitus ml. hark. kor. 
2020 ilman alv, €]],0)</f>
        <v>2.2337766197922871E-2</v>
      </c>
    </row>
    <row r="9" spans="1:59" x14ac:dyDescent="0.2">
      <c r="A9" s="22" t="s">
        <v>226</v>
      </c>
      <c r="B9" s="22">
        <f>COUNTIF(Ohj.lask.[Maakunta],Maakunt.[[#This Row],[Maakunta]])</f>
        <v>2</v>
      </c>
      <c r="C9" s="22">
        <f>COUNTIFS(Ohj.lask.[Maakunta],Maakunt.[[#This Row],[Maakunta]],Ohj.lask.[Omistajatyyppi],"=yksityinen")</f>
        <v>1</v>
      </c>
      <c r="D9" s="22">
        <f>COUNTIFS(Ohj.lask.[Maakunta],Maakunt.[[#This Row],[Maakunta]],Ohj.lask.[Omistajatyyppi],"=kunta")</f>
        <v>1</v>
      </c>
      <c r="E9" s="22">
        <f>COUNTIFS(Ohj.lask.[Maakunta],Maakunt.[[#This Row],[Maakunta]],Ohj.lask.[Omistajatyyppi],"=kuntayhtymä")</f>
        <v>0</v>
      </c>
      <c r="F9" s="18">
        <f>SUMIF(Ohj.lask.[Maakunta],Maakunt.[[#This Row],[Maakunta]],Ohj.lask.[Järjestämisluvan opisk.vuosien vähimmäismäärä])</f>
        <v>2561</v>
      </c>
      <c r="G9" s="17">
        <f>SUMIF(Ohj.lask.[Maakunta],Maakunt.[[#This Row],[Maakunta]],Ohj.lask.[Suoritepäätöksellä jaettavat opisk.vuodet (luvan ylittävä osuus)])</f>
        <v>288</v>
      </c>
      <c r="H9" s="17">
        <f>SUMIF(Ohj.lask.[Maakunta],Maakunt.[[#This Row],[Maakunta]],Ohj.lask.[Tavoitteelliset opiskelija-vuodet])</f>
        <v>2849</v>
      </c>
      <c r="I9" s="80">
        <f>Maakunt.[[#This Row],[Painotetut opiskelija-vuodet]]/Maakunt.[[#This Row],[Tavoitteelliset opiskelija-vuodet]]</f>
        <v>1.076869076869077</v>
      </c>
      <c r="J9" s="81">
        <f>SUMIF(Ohj.lask.[Maakunta],Maakunt.[[#This Row],[Maakunta]],Ohj.lask.[Painotetut opiskelija-vuodet])</f>
        <v>3068</v>
      </c>
      <c r="K9" s="16">
        <f>SUMIF(Ohj.lask.[Maakunta],Maakunt.[[#This Row],[Maakunta]],Ohj.lask.[%-osuus 1])</f>
        <v>1.4982575674704263E-2</v>
      </c>
      <c r="L9" s="17">
        <f>SUMIF(Ohj.lask.[Maakunta],Maakunt.[[#This Row],[Maakunta]],Ohj.lask.[Jaettava € 1])</f>
        <v>18870120</v>
      </c>
      <c r="M9" s="18">
        <f>SUMIF(Ohj.lask.[Maakunta],Maakunt.[[#This Row],[Maakunta]],Ohj.lask.[Painotetut pisteet 2])</f>
        <v>235705.2</v>
      </c>
      <c r="N9" s="16">
        <f>SUMIF(Ohj.lask.[Maakunta],Maakunt.[[#This Row],[Maakunta]],Ohj.lask.[%-osuus 2])</f>
        <v>1.5131344944286227E-2</v>
      </c>
      <c r="O9" s="17">
        <f>SUMIF(Ohj.lask.[Maakunta],Maakunt.[[#This Row],[Maakunta]],Ohj.lask.[Jaettava € 2])</f>
        <v>5555957</v>
      </c>
      <c r="P9" s="18">
        <f>SUMIF(Ohj.lask.[Maakunta],Maakunt.[[#This Row],[Maakunta]],Ohj.lask.[Painotetut pisteet 3])</f>
        <v>3621.7</v>
      </c>
      <c r="Q9" s="16">
        <f>SUMIF(Ohj.lask.[Maakunta],Maakunt.[[#This Row],[Maakunta]],Ohj.lask.[%-osuus 3])</f>
        <v>1.8197403414380964E-2</v>
      </c>
      <c r="R9" s="17">
        <f>SUMIF(Ohj.lask.[Maakunta],Maakunt.[[#This Row],[Maakunta]],Ohj.lask.[Jaettava € 3])</f>
        <v>2505660</v>
      </c>
      <c r="S9" s="18">
        <f>SUMIF(Ohj.lask.[Maakunta],Maakunt.[[#This Row],[Maakunta]],Ohj.lask.[Painotetut pisteet 4])</f>
        <v>28532.6</v>
      </c>
      <c r="T9" s="16">
        <f>SUMIF(Ohj.lask.[Maakunta],Maakunt.[[#This Row],[Maakunta]],Ohj.lask.[%-osuus 4])</f>
        <v>1.7333933961481831E-2</v>
      </c>
      <c r="U9" s="17">
        <f>SUMIF(Ohj.lask.[Maakunta],Maakunt.[[#This Row],[Maakunta]],Ohj.lask.[Jaettava € 4])</f>
        <v>198897</v>
      </c>
      <c r="V9" s="18">
        <f>SUMIF(Ohj.lask.[Maakunta],Maakunt.[[#This Row],[Maakunta]],Ohj.lask.[Painotetut pisteet 5])</f>
        <v>167223.9</v>
      </c>
      <c r="W9" s="16">
        <f>SUMIF(Ohj.lask.[Maakunta],Maakunt.[[#This Row],[Maakunta]],Ohj.lask.[%-osuus 5])</f>
        <v>1.9396321943690228E-2</v>
      </c>
      <c r="X9" s="17">
        <f>SUMIF(Ohj.lask.[Maakunta],Maakunt.[[#This Row],[Maakunta]],Ohj.lask.[Jaettava € 5])</f>
        <v>667686</v>
      </c>
      <c r="Y9" s="19">
        <f>SUMIF(Ohj.lask.[Maakunta],Maakunt.[[#This Row],[Maakunta]],Ohj.lask.[%-osuus 6])</f>
        <v>1.5356117662478064E-2</v>
      </c>
      <c r="Z9" s="17">
        <f>SUMIF(Ohj.lask.[Maakunta],Maakunt.[[#This Row],[Maakunta]],Ohj.lask.[Jaettava € 6])</f>
        <v>27798320</v>
      </c>
      <c r="AA9" s="18">
        <f>SUMIF(Ohj.lask.[Maakunta],Maakunt.[[#This Row],[Maakunta]],Ohj.lask.[Hakemus, € 1])</f>
        <v>0</v>
      </c>
      <c r="AB9" s="17">
        <f>SUMIF(Ohj.lask.[Maakunta],Maakunt.[[#This Row],[Maakunta]],Ohj.lask.[Päätös, € 1])</f>
        <v>0</v>
      </c>
      <c r="AC9" s="18">
        <f>SUMIF(Ohj.lask.[Maakunta],Maakunt.[[#This Row],[Maakunta]],Ohj.lask.[Hakemus, € 2])</f>
        <v>0</v>
      </c>
      <c r="AD9" s="17">
        <f>SUMIF(Ohj.lask.[Maakunta],Maakunt.[[#This Row],[Maakunta]],Ohj.lask.[Päätös, € 2])</f>
        <v>0</v>
      </c>
      <c r="AE9" s="18">
        <f>SUMIF(Ohj.lask.[Maakunta],Maakunt.[[#This Row],[Maakunta]],Ohj.lask.[Hakemus, € 3])</f>
        <v>0</v>
      </c>
      <c r="AF9" s="17">
        <f>SUMIF(Ohj.lask.[Maakunta],Maakunt.[[#This Row],[Maakunta]],Ohj.lask.[Päätös, € 3])</f>
        <v>0</v>
      </c>
      <c r="AG9" s="18">
        <f>SUMIF(Ohj.lask.[Maakunta],Maakunt.[[#This Row],[Maakunta]],Ohj.lask.[Hakemus, € 4])</f>
        <v>150000</v>
      </c>
      <c r="AH9" s="17">
        <f>SUMIF(Ohj.lask.[Maakunta],Maakunt.[[#This Row],[Maakunta]],Ohj.lask.[Päätös, € 4])</f>
        <v>0</v>
      </c>
      <c r="AI9" s="18">
        <f>SUMIF(Ohj.lask.[Maakunta],Maakunt.[[#This Row],[Maakunta]],Ohj.lask.[Hakemus, € 5])</f>
        <v>0</v>
      </c>
      <c r="AJ9" s="23">
        <f>SUMIF(Ohj.lask.[Maakunta],Maakunt.[[#This Row],[Maakunta]],Ohj.lask.[Päätös, € 5])</f>
        <v>0</v>
      </c>
      <c r="AK9" s="18">
        <f>SUMIF(Ohj.lask.[Maakunta],Maakunt.[[#This Row],[Maakunta]],Ohj.lask.[Hakemus, € 6])</f>
        <v>0</v>
      </c>
      <c r="AL9" s="17">
        <f>SUMIF(Ohj.lask.[Maakunta],Maakunt.[[#This Row],[Maakunta]],Ohj.lask.[Päätös, € 6])</f>
        <v>0</v>
      </c>
      <c r="AM9" s="18">
        <f>SUMIF(Ohj.lask.[Maakunta],Maakunt.[[#This Row],[Maakunta]],Ohj.lask.[Hakemus, € 7])</f>
        <v>80000</v>
      </c>
      <c r="AN9" s="23">
        <f>SUMIF(Ohj.lask.[Maakunta],Maakunt.[[#This Row],[Maakunta]],Ohj.lask.[Päätös, € 7])</f>
        <v>80000</v>
      </c>
      <c r="AO9" s="17">
        <f>SUMIF(Ohj.lask.[Maakunta],Maakunt.[[#This Row],[Maakunta]],Ohj.lask.[Hakemus, € 8])</f>
        <v>0</v>
      </c>
      <c r="AP9" s="17">
        <f>SUMIF(Ohj.lask.[Maakunta],Maakunt.[[#This Row],[Maakunta]],Ohj.lask.[Päätös, € 8])</f>
        <v>0</v>
      </c>
      <c r="AQ9" s="18">
        <f>Maakunt.[[#This Row],[Hakemus, € 1]]+Maakunt.[[#This Row],[Hakemus, € 2]]+Maakunt.[[#This Row],[Hakemus, € 3]]+Maakunt.[[#This Row],[Hakemus, € 4]]+Maakunt.[[#This Row],[Hakemus, € 5]]+Maakunt.[[#This Row],[Hakemus, € 6]]+Maakunt.[[#This Row],[Hakemus, € 7]]+Maakunt.[[#This Row],[Hakemus, € 8]]</f>
        <v>230000</v>
      </c>
      <c r="AR9" s="17">
        <f>Maakunt.[[#This Row],[Päätös, € 1]]+Maakunt.[[#This Row],[Päätös, € 2]]+Maakunt.[[#This Row],[Päätös, € 3]]+Maakunt.[[#This Row],[Päätös, € 4]]+Maakunt.[[#This Row],[Päätös, € 5]]+Maakunt.[[#This Row],[Päätös, € 6]]+Maakunt.[[#This Row],[Päätös, € 7]]+Maakunt.[[#This Row],[Päätös, € 8]]</f>
        <v>80000</v>
      </c>
      <c r="AS9" s="18">
        <f>SUMIF(Ohj.lask.[Maakunta],Maakunt.[[#This Row],[Maakunta]],Ohj.lask.[Suoriteperusteinen (opiskelijavuosiin perustuva) sekä harkinnanvarainen korotus, €])</f>
        <v>18950120</v>
      </c>
      <c r="AT9" s="18">
        <f>SUMIF(Ohj.lask.[Maakunta],Maakunt.[[#This Row],[Maakunta]],Ohj.lask.[Suoritusrahoitus, €])</f>
        <v>5555957</v>
      </c>
      <c r="AU9" s="18">
        <f>SUMIF(Ohj.lask.[Maakunta],Maakunt.[[#This Row],[Maakunta]],Ohj.lask.[Työllistymiseen ja jatko-opintoihin siirtymiseen perustuva sekä opiskelija-palautteisiin perustuva, €])</f>
        <v>3372243</v>
      </c>
      <c r="AV9" s="42">
        <f>SUMIF(Ohj.lask.[Maakunta],Maakunt.[[#This Row],[Maakunta]],Ohj.lask.[Perus-, suoritus- ja vaikuttavuusrahoitus yhteensä, €])</f>
        <v>27878320</v>
      </c>
      <c r="AW9" s="19">
        <f>Maakunt.[[#This Row],[Jaettava € 1]]/Maakunt.[[#This Row],[Perus-, suoritus- ja vaikuttavuusrahoitus yhteensä, €]]</f>
        <v>0.67687435971751531</v>
      </c>
      <c r="AX9" s="16">
        <f>Maakunt.[[#This Row],[Suoriteperusteinen (opiskelijavuosiin perustuva) sekä harkinnanvarainen korotus, €]]/Maakunt.[[#This Row],[Perus-, suoritus- ja vaikuttavuusrahoitus yhteensä, €]]</f>
        <v>0.67974397309450496</v>
      </c>
      <c r="AY9" s="49">
        <f>Maakunt.[[#This Row],[Suoritusrahoitus, €]]/Maakunt.[[#This Row],[Perus-, suoritus- ja vaikuttavuusrahoitus yhteensä, €]]</f>
        <v>0.19929310661474581</v>
      </c>
      <c r="AZ9" s="16">
        <f>Maakunt.[[#This Row],[Työllistymiseen ja jatko-opintoihin siirtymiseen perustuva sekä opiskelija-palautteisiin perustuva, €]]/Maakunt.[[#This Row],[Perus-, suoritus- ja vaikuttavuusrahoitus yhteensä, €]]</f>
        <v>0.12096292029074923</v>
      </c>
      <c r="BA9" s="16">
        <f>SUMIF(Ohj.lask.[Maakunta],Maakunt.[[#This Row],[Maakunta]],Ohj.lask.[Jaettava € 3])/Maakunt.[[#This Row],[Perus-, suoritus- ja vaikuttavuusrahoitus yhteensä, €]]</f>
        <v>8.987844317735072E-2</v>
      </c>
      <c r="BB9" s="16">
        <f>SUMIF(Ohj.lask.[Maakunta],Maakunt.[[#This Row],[Maakunta]],Ohj.lask.[Jaettava € 4])/Maakunt.[[#This Row],[Perus-, suoritus- ja vaikuttavuusrahoitus yhteensä, €]]</f>
        <v>7.1344686480390501E-3</v>
      </c>
      <c r="BC9" s="43">
        <f>SUMIF(Ohj.lask.[Maakunta],Maakunt.[[#This Row],[Maakunta]],Ohj.lask.[Jaettava € 5])/Maakunt.[[#This Row],[Perus-, suoritus- ja vaikuttavuusrahoitus yhteensä, €]]</f>
        <v>2.3950008465359461E-2</v>
      </c>
      <c r="BD9" s="18">
        <f>SUMIF(Vertailu[Maakunta],Maakunt.[[#This Row],[Maakunta]],Vertailu[Rahoitus ml. hark. kor. 
2020 ilman alv, €])</f>
        <v>27592601</v>
      </c>
      <c r="BE9" s="18">
        <f>SUMIF(Vertailu[Maakunta],Maakunt.[[#This Row],[Maakunta]],Vertailu[Rahoitus ml. hark. kor. 
2021 ilman alv, €])</f>
        <v>27878320</v>
      </c>
      <c r="BF9" s="18">
        <f>SUMIF(Vertailu[Maakunta],Maakunt.[[#This Row],[Maakunta]],Vertailu[Muutos, € 2])</f>
        <v>285719</v>
      </c>
      <c r="BG9" s="43">
        <f>IFERROR(Maakunt.[[#This Row],[Muutos, € 2]]/Maakunt.[[#This Row],[Rahoitus ml. hark. kor. 
2020 ilman alv, €]],0)</f>
        <v>1.0354913623402158E-2</v>
      </c>
    </row>
    <row r="10" spans="1:59" x14ac:dyDescent="0.2">
      <c r="A10" s="22" t="s">
        <v>312</v>
      </c>
      <c r="B10" s="22">
        <f>COUNTIF(Ohj.lask.[Maakunta],Maakunt.[[#This Row],[Maakunta]])</f>
        <v>6</v>
      </c>
      <c r="C10" s="22">
        <f>COUNTIFS(Ohj.lask.[Maakunta],Maakunt.[[#This Row],[Maakunta]],Ohj.lask.[Omistajatyyppi],"=yksityinen")</f>
        <v>4</v>
      </c>
      <c r="D10" s="22">
        <f>COUNTIFS(Ohj.lask.[Maakunta],Maakunt.[[#This Row],[Maakunta]],Ohj.lask.[Omistajatyyppi],"=kunta")</f>
        <v>0</v>
      </c>
      <c r="E10" s="22">
        <f>COUNTIFS(Ohj.lask.[Maakunta],Maakunt.[[#This Row],[Maakunta]],Ohj.lask.[Omistajatyyppi],"=kuntayhtymä")</f>
        <v>2</v>
      </c>
      <c r="F10" s="18">
        <f>SUMIF(Ohj.lask.[Maakunta],Maakunt.[[#This Row],[Maakunta]],Ohj.lask.[Järjestämisluvan opisk.vuosien vähimmäismäärä])</f>
        <v>4633</v>
      </c>
      <c r="G10" s="17">
        <f>SUMIF(Ohj.lask.[Maakunta],Maakunt.[[#This Row],[Maakunta]],Ohj.lask.[Suoritepäätöksellä jaettavat opisk.vuodet (luvan ylittävä osuus)])</f>
        <v>388</v>
      </c>
      <c r="H10" s="17">
        <f>SUMIF(Ohj.lask.[Maakunta],Maakunt.[[#This Row],[Maakunta]],Ohj.lask.[Tavoitteelliset opiskelija-vuodet])</f>
        <v>5021</v>
      </c>
      <c r="I10" s="80">
        <f>Maakunt.[[#This Row],[Painotetut opiskelija-vuodet]]/Maakunt.[[#This Row],[Tavoitteelliset opiskelija-vuodet]]</f>
        <v>1.5858394742083251</v>
      </c>
      <c r="J10" s="81">
        <f>SUMIF(Ohj.lask.[Maakunta],Maakunt.[[#This Row],[Maakunta]],Ohj.lask.[Painotetut opiskelija-vuodet])</f>
        <v>7962.5</v>
      </c>
      <c r="K10" s="16">
        <f>SUMIF(Ohj.lask.[Maakunta],Maakunt.[[#This Row],[Maakunta]],Ohj.lask.[%-osuus 1])</f>
        <v>3.8884862715069322E-2</v>
      </c>
      <c r="L10" s="17">
        <f>SUMIF(Ohj.lask.[Maakunta],Maakunt.[[#This Row],[Maakunta]],Ohj.lask.[Jaettava € 1])</f>
        <v>48974357</v>
      </c>
      <c r="M10" s="18">
        <f>SUMIF(Ohj.lask.[Maakunta],Maakunt.[[#This Row],[Maakunta]],Ohj.lask.[Painotetut pisteet 2])</f>
        <v>546937.9</v>
      </c>
      <c r="N10" s="16">
        <f>SUMIF(Ohj.lask.[Maakunta],Maakunt.[[#This Row],[Maakunta]],Ohj.lask.[%-osuus 2])</f>
        <v>3.5111257740616353E-2</v>
      </c>
      <c r="O10" s="17">
        <f>SUMIF(Ohj.lask.[Maakunta],Maakunt.[[#This Row],[Maakunta]],Ohj.lask.[Jaettava € 2])</f>
        <v>12892223</v>
      </c>
      <c r="P10" s="18">
        <f>SUMIF(Ohj.lask.[Maakunta],Maakunt.[[#This Row],[Maakunta]],Ohj.lask.[Painotetut pisteet 3])</f>
        <v>5291.2</v>
      </c>
      <c r="Q10" s="16">
        <f>SUMIF(Ohj.lask.[Maakunta],Maakunt.[[#This Row],[Maakunta]],Ohj.lask.[%-osuus 3])</f>
        <v>2.6585885342842466E-2</v>
      </c>
      <c r="R10" s="17">
        <f>SUMIF(Ohj.lask.[Maakunta],Maakunt.[[#This Row],[Maakunta]],Ohj.lask.[Jaettava € 3])</f>
        <v>3660697</v>
      </c>
      <c r="S10" s="18">
        <f>SUMIF(Ohj.lask.[Maakunta],Maakunt.[[#This Row],[Maakunta]],Ohj.lask.[Painotetut pisteet 4])</f>
        <v>51373.3</v>
      </c>
      <c r="T10" s="16">
        <f>SUMIF(Ohj.lask.[Maakunta],Maakunt.[[#This Row],[Maakunta]],Ohj.lask.[%-osuus 4])</f>
        <v>3.1209962975101976E-2</v>
      </c>
      <c r="U10" s="17">
        <f>SUMIF(Ohj.lask.[Maakunta],Maakunt.[[#This Row],[Maakunta]],Ohj.lask.[Jaettava € 4])</f>
        <v>358118</v>
      </c>
      <c r="V10" s="18">
        <f>SUMIF(Ohj.lask.[Maakunta],Maakunt.[[#This Row],[Maakunta]],Ohj.lask.[Painotetut pisteet 5])</f>
        <v>259327.30000000002</v>
      </c>
      <c r="W10" s="16">
        <f>SUMIF(Ohj.lask.[Maakunta],Maakunt.[[#This Row],[Maakunta]],Ohj.lask.[%-osuus 5])</f>
        <v>3.0079407307136947E-2</v>
      </c>
      <c r="X10" s="17">
        <f>SUMIF(Ohj.lask.[Maakunta],Maakunt.[[#This Row],[Maakunta]],Ohj.lask.[Jaettava € 5])</f>
        <v>1035434</v>
      </c>
      <c r="Y10" s="19">
        <f>SUMIF(Ohj.lask.[Maakunta],Maakunt.[[#This Row],[Maakunta]],Ohj.lask.[%-osuus 6])</f>
        <v>3.6967850006567819E-2</v>
      </c>
      <c r="Z10" s="17">
        <f>SUMIF(Ohj.lask.[Maakunta],Maakunt.[[#This Row],[Maakunta]],Ohj.lask.[Jaettava € 6])</f>
        <v>66920829</v>
      </c>
      <c r="AA10" s="18">
        <f>SUMIF(Ohj.lask.[Maakunta],Maakunt.[[#This Row],[Maakunta]],Ohj.lask.[Hakemus, € 1])</f>
        <v>287000</v>
      </c>
      <c r="AB10" s="17">
        <f>SUMIF(Ohj.lask.[Maakunta],Maakunt.[[#This Row],[Maakunta]],Ohj.lask.[Päätös, € 1])</f>
        <v>155000</v>
      </c>
      <c r="AC10" s="18">
        <f>SUMIF(Ohj.lask.[Maakunta],Maakunt.[[#This Row],[Maakunta]],Ohj.lask.[Hakemus, € 2])</f>
        <v>240000</v>
      </c>
      <c r="AD10" s="17">
        <f>SUMIF(Ohj.lask.[Maakunta],Maakunt.[[#This Row],[Maakunta]],Ohj.lask.[Päätös, € 2])</f>
        <v>0</v>
      </c>
      <c r="AE10" s="18">
        <f>SUMIF(Ohj.lask.[Maakunta],Maakunt.[[#This Row],[Maakunta]],Ohj.lask.[Hakemus, € 3])</f>
        <v>0</v>
      </c>
      <c r="AF10" s="17">
        <f>SUMIF(Ohj.lask.[Maakunta],Maakunt.[[#This Row],[Maakunta]],Ohj.lask.[Päätös, € 3])</f>
        <v>0</v>
      </c>
      <c r="AG10" s="18">
        <f>SUMIF(Ohj.lask.[Maakunta],Maakunt.[[#This Row],[Maakunta]],Ohj.lask.[Hakemus, € 4])</f>
        <v>129500</v>
      </c>
      <c r="AH10" s="17">
        <f>SUMIF(Ohj.lask.[Maakunta],Maakunt.[[#This Row],[Maakunta]],Ohj.lask.[Päätös, € 4])</f>
        <v>0</v>
      </c>
      <c r="AI10" s="18">
        <f>SUMIF(Ohj.lask.[Maakunta],Maakunt.[[#This Row],[Maakunta]],Ohj.lask.[Hakemus, € 5])</f>
        <v>15000</v>
      </c>
      <c r="AJ10" s="23">
        <f>SUMIF(Ohj.lask.[Maakunta],Maakunt.[[#This Row],[Maakunta]],Ohj.lask.[Päätös, € 5])</f>
        <v>0</v>
      </c>
      <c r="AK10" s="18">
        <f>SUMIF(Ohj.lask.[Maakunta],Maakunt.[[#This Row],[Maakunta]],Ohj.lask.[Hakemus, € 6])</f>
        <v>40000</v>
      </c>
      <c r="AL10" s="17">
        <f>SUMIF(Ohj.lask.[Maakunta],Maakunt.[[#This Row],[Maakunta]],Ohj.lask.[Päätös, € 6])</f>
        <v>0</v>
      </c>
      <c r="AM10" s="18">
        <f>SUMIF(Ohj.lask.[Maakunta],Maakunt.[[#This Row],[Maakunta]],Ohj.lask.[Hakemus, € 7])</f>
        <v>495000</v>
      </c>
      <c r="AN10" s="23">
        <f>SUMIF(Ohj.lask.[Maakunta],Maakunt.[[#This Row],[Maakunta]],Ohj.lask.[Päätös, € 7])</f>
        <v>280000</v>
      </c>
      <c r="AO10" s="17">
        <f>SUMIF(Ohj.lask.[Maakunta],Maakunt.[[#This Row],[Maakunta]],Ohj.lask.[Hakemus, € 8])</f>
        <v>0</v>
      </c>
      <c r="AP10" s="17">
        <f>SUMIF(Ohj.lask.[Maakunta],Maakunt.[[#This Row],[Maakunta]],Ohj.lask.[Päätös, € 8])</f>
        <v>0</v>
      </c>
      <c r="AQ10" s="18">
        <f>Maakunt.[[#This Row],[Hakemus, € 1]]+Maakunt.[[#This Row],[Hakemus, € 2]]+Maakunt.[[#This Row],[Hakemus, € 3]]+Maakunt.[[#This Row],[Hakemus, € 4]]+Maakunt.[[#This Row],[Hakemus, € 5]]+Maakunt.[[#This Row],[Hakemus, € 6]]+Maakunt.[[#This Row],[Hakemus, € 7]]+Maakunt.[[#This Row],[Hakemus, € 8]]</f>
        <v>1206500</v>
      </c>
      <c r="AR10" s="17">
        <f>Maakunt.[[#This Row],[Päätös, € 1]]+Maakunt.[[#This Row],[Päätös, € 2]]+Maakunt.[[#This Row],[Päätös, € 3]]+Maakunt.[[#This Row],[Päätös, € 4]]+Maakunt.[[#This Row],[Päätös, € 5]]+Maakunt.[[#This Row],[Päätös, € 6]]+Maakunt.[[#This Row],[Päätös, € 7]]+Maakunt.[[#This Row],[Päätös, € 8]]</f>
        <v>435000</v>
      </c>
      <c r="AS10" s="18">
        <f>SUMIF(Ohj.lask.[Maakunta],Maakunt.[[#This Row],[Maakunta]],Ohj.lask.[Suoriteperusteinen (opiskelijavuosiin perustuva) sekä harkinnanvarainen korotus, €])</f>
        <v>49409357</v>
      </c>
      <c r="AT10" s="18">
        <f>SUMIF(Ohj.lask.[Maakunta],Maakunt.[[#This Row],[Maakunta]],Ohj.lask.[Suoritusrahoitus, €])</f>
        <v>12892223</v>
      </c>
      <c r="AU10" s="18">
        <f>SUMIF(Ohj.lask.[Maakunta],Maakunt.[[#This Row],[Maakunta]],Ohj.lask.[Työllistymiseen ja jatko-opintoihin siirtymiseen perustuva sekä opiskelija-palautteisiin perustuva, €])</f>
        <v>5054249</v>
      </c>
      <c r="AV10" s="42">
        <f>SUMIF(Ohj.lask.[Maakunta],Maakunt.[[#This Row],[Maakunta]],Ohj.lask.[Perus-, suoritus- ja vaikuttavuusrahoitus yhteensä, €])</f>
        <v>67355829</v>
      </c>
      <c r="AW10" s="19">
        <f>Maakunt.[[#This Row],[Jaettava € 1]]/Maakunt.[[#This Row],[Perus-, suoritus- ja vaikuttavuusrahoitus yhteensä, €]]</f>
        <v>0.72709901618165818</v>
      </c>
      <c r="AX10" s="16">
        <f>Maakunt.[[#This Row],[Suoriteperusteinen (opiskelijavuosiin perustuva) sekä harkinnanvarainen korotus, €]]/Maakunt.[[#This Row],[Perus-, suoritus- ja vaikuttavuusrahoitus yhteensä, €]]</f>
        <v>0.73355725456218501</v>
      </c>
      <c r="AY10" s="49">
        <f>Maakunt.[[#This Row],[Suoritusrahoitus, €]]/Maakunt.[[#This Row],[Perus-, suoritus- ja vaikuttavuusrahoitus yhteensä, €]]</f>
        <v>0.19140471123887437</v>
      </c>
      <c r="AZ10" s="16">
        <f>Maakunt.[[#This Row],[Työllistymiseen ja jatko-opintoihin siirtymiseen perustuva sekä opiskelija-palautteisiin perustuva, €]]/Maakunt.[[#This Row],[Perus-, suoritus- ja vaikuttavuusrahoitus yhteensä, €]]</f>
        <v>7.5038034198940673E-2</v>
      </c>
      <c r="BA10" s="16">
        <f>SUMIF(Ohj.lask.[Maakunta],Maakunt.[[#This Row],[Maakunta]],Ohj.lask.[Jaettava € 3])/Maakunt.[[#This Row],[Perus-, suoritus- ja vaikuttavuusrahoitus yhteensä, €]]</f>
        <v>5.4348629574435196E-2</v>
      </c>
      <c r="BB10" s="16">
        <f>SUMIF(Ohj.lask.[Maakunta],Maakunt.[[#This Row],[Maakunta]],Ohj.lask.[Jaettava € 4])/Maakunt.[[#This Row],[Perus-, suoritus- ja vaikuttavuusrahoitus yhteensä, €]]</f>
        <v>5.3168078444999914E-3</v>
      </c>
      <c r="BC10" s="43">
        <f>SUMIF(Ohj.lask.[Maakunta],Maakunt.[[#This Row],[Maakunta]],Ohj.lask.[Jaettava € 5])/Maakunt.[[#This Row],[Perus-, suoritus- ja vaikuttavuusrahoitus yhteensä, €]]</f>
        <v>1.5372596780005484E-2</v>
      </c>
      <c r="BD10" s="18">
        <f>SUMIF(Vertailu[Maakunta],Maakunt.[[#This Row],[Maakunta]],Vertailu[Rahoitus ml. hark. kor. 
2020 ilman alv, €])</f>
        <v>64244270</v>
      </c>
      <c r="BE10" s="18">
        <f>SUMIF(Vertailu[Maakunta],Maakunt.[[#This Row],[Maakunta]],Vertailu[Rahoitus ml. hark. kor. 
2021 ilman alv, €])</f>
        <v>67355829</v>
      </c>
      <c r="BF10" s="18">
        <f>SUMIF(Vertailu[Maakunta],Maakunt.[[#This Row],[Maakunta]],Vertailu[Muutos, € 2])</f>
        <v>3111559</v>
      </c>
      <c r="BG10" s="43">
        <f>IFERROR(Maakunt.[[#This Row],[Muutos, € 2]]/Maakunt.[[#This Row],[Rahoitus ml. hark. kor. 
2020 ilman alv, €]],0)</f>
        <v>4.8433253269124232E-2</v>
      </c>
    </row>
    <row r="11" spans="1:59" x14ac:dyDescent="0.2">
      <c r="A11" s="22" t="s">
        <v>323</v>
      </c>
      <c r="B11" s="22">
        <f>COUNTIF(Ohj.lask.[Maakunta],Maakunt.[[#This Row],[Maakunta]])</f>
        <v>2</v>
      </c>
      <c r="C11" s="22">
        <f>COUNTIFS(Ohj.lask.[Maakunta],Maakunt.[[#This Row],[Maakunta]],Ohj.lask.[Omistajatyyppi],"=yksityinen")</f>
        <v>1</v>
      </c>
      <c r="D11" s="22">
        <f>COUNTIFS(Ohj.lask.[Maakunta],Maakunt.[[#This Row],[Maakunta]],Ohj.lask.[Omistajatyyppi],"=kunta")</f>
        <v>0</v>
      </c>
      <c r="E11" s="22">
        <f>COUNTIFS(Ohj.lask.[Maakunta],Maakunt.[[#This Row],[Maakunta]],Ohj.lask.[Omistajatyyppi],"=kuntayhtymä")</f>
        <v>1</v>
      </c>
      <c r="F11" s="18">
        <f>SUMIF(Ohj.lask.[Maakunta],Maakunt.[[#This Row],[Maakunta]],Ohj.lask.[Järjestämisluvan opisk.vuosien vähimmäismäärä])</f>
        <v>2615</v>
      </c>
      <c r="G11" s="17">
        <f>SUMIF(Ohj.lask.[Maakunta],Maakunt.[[#This Row],[Maakunta]],Ohj.lask.[Suoritepäätöksellä jaettavat opisk.vuodet (luvan ylittävä osuus)])</f>
        <v>179</v>
      </c>
      <c r="H11" s="17">
        <f>SUMIF(Ohj.lask.[Maakunta],Maakunt.[[#This Row],[Maakunta]],Ohj.lask.[Tavoitteelliset opiskelija-vuodet])</f>
        <v>2794</v>
      </c>
      <c r="I11" s="80">
        <f>Maakunt.[[#This Row],[Painotetut opiskelija-vuodet]]/Maakunt.[[#This Row],[Tavoitteelliset opiskelija-vuodet]]</f>
        <v>1.1636005726556908</v>
      </c>
      <c r="J11" s="81">
        <f>SUMIF(Ohj.lask.[Maakunta],Maakunt.[[#This Row],[Maakunta]],Ohj.lask.[Painotetut opiskelija-vuodet])</f>
        <v>3251.1</v>
      </c>
      <c r="K11" s="16">
        <f>SUMIF(Ohj.lask.[Maakunta],Maakunt.[[#This Row],[Maakunta]],Ohj.lask.[%-osuus 1])</f>
        <v>1.587674438592928E-2</v>
      </c>
      <c r="L11" s="17">
        <f>SUMIF(Ohj.lask.[Maakunta],Maakunt.[[#This Row],[Maakunta]],Ohj.lask.[Jaettava € 1])</f>
        <v>19996299</v>
      </c>
      <c r="M11" s="18">
        <f>SUMIF(Ohj.lask.[Maakunta],Maakunt.[[#This Row],[Maakunta]],Ohj.lask.[Painotetut pisteet 2])</f>
        <v>261567.30000000002</v>
      </c>
      <c r="N11" s="16">
        <f>SUMIF(Ohj.lask.[Maakunta],Maakunt.[[#This Row],[Maakunta]],Ohj.lask.[%-osuus 2])</f>
        <v>1.6791589843777727E-2</v>
      </c>
      <c r="O11" s="17">
        <f>SUMIF(Ohj.lask.[Maakunta],Maakunt.[[#This Row],[Maakunta]],Ohj.lask.[Jaettava € 2])</f>
        <v>6165570</v>
      </c>
      <c r="P11" s="18">
        <f>SUMIF(Ohj.lask.[Maakunta],Maakunt.[[#This Row],[Maakunta]],Ohj.lask.[Painotetut pisteet 3])</f>
        <v>3589.8999999999996</v>
      </c>
      <c r="Q11" s="16">
        <f>SUMIF(Ohj.lask.[Maakunta],Maakunt.[[#This Row],[Maakunta]],Ohj.lask.[%-osuus 3])</f>
        <v>1.8037622806219792E-2</v>
      </c>
      <c r="R11" s="17">
        <f>SUMIF(Ohj.lask.[Maakunta],Maakunt.[[#This Row],[Maakunta]],Ohj.lask.[Jaettava € 3])</f>
        <v>2483659</v>
      </c>
      <c r="S11" s="18">
        <f>SUMIF(Ohj.lask.[Maakunta],Maakunt.[[#This Row],[Maakunta]],Ohj.lask.[Painotetut pisteet 4])</f>
        <v>28577.7</v>
      </c>
      <c r="T11" s="16">
        <f>SUMIF(Ohj.lask.[Maakunta],Maakunt.[[#This Row],[Maakunta]],Ohj.lask.[%-osuus 4])</f>
        <v>1.7361332811276903E-2</v>
      </c>
      <c r="U11" s="17">
        <f>SUMIF(Ohj.lask.[Maakunta],Maakunt.[[#This Row],[Maakunta]],Ohj.lask.[Jaettava € 4])</f>
        <v>199212</v>
      </c>
      <c r="V11" s="18">
        <f>SUMIF(Ohj.lask.[Maakunta],Maakunt.[[#This Row],[Maakunta]],Ohj.lask.[Painotetut pisteet 5])</f>
        <v>168050.9</v>
      </c>
      <c r="W11" s="16">
        <f>SUMIF(Ohj.lask.[Maakunta],Maakunt.[[#This Row],[Maakunta]],Ohj.lask.[%-osuus 5])</f>
        <v>1.9492245781415764E-2</v>
      </c>
      <c r="X11" s="17">
        <f>SUMIF(Ohj.lask.[Maakunta],Maakunt.[[#This Row],[Maakunta]],Ohj.lask.[Jaettava € 5])</f>
        <v>670988</v>
      </c>
      <c r="Y11" s="19">
        <f>SUMIF(Ohj.lask.[Maakunta],Maakunt.[[#This Row],[Maakunta]],Ohj.lask.[%-osuus 6])</f>
        <v>1.6304833963408521E-2</v>
      </c>
      <c r="Z11" s="17">
        <f>SUMIF(Ohj.lask.[Maakunta],Maakunt.[[#This Row],[Maakunta]],Ohj.lask.[Jaettava € 6])</f>
        <v>29515728</v>
      </c>
      <c r="AA11" s="18">
        <f>SUMIF(Ohj.lask.[Maakunta],Maakunt.[[#This Row],[Maakunta]],Ohj.lask.[Hakemus, € 1])</f>
        <v>0</v>
      </c>
      <c r="AB11" s="17">
        <f>SUMIF(Ohj.lask.[Maakunta],Maakunt.[[#This Row],[Maakunta]],Ohj.lask.[Päätös, € 1])</f>
        <v>0</v>
      </c>
      <c r="AC11" s="18">
        <f>SUMIF(Ohj.lask.[Maakunta],Maakunt.[[#This Row],[Maakunta]],Ohj.lask.[Hakemus, € 2])</f>
        <v>0</v>
      </c>
      <c r="AD11" s="17">
        <f>SUMIF(Ohj.lask.[Maakunta],Maakunt.[[#This Row],[Maakunta]],Ohj.lask.[Päätös, € 2])</f>
        <v>0</v>
      </c>
      <c r="AE11" s="18">
        <f>SUMIF(Ohj.lask.[Maakunta],Maakunt.[[#This Row],[Maakunta]],Ohj.lask.[Hakemus, € 3])</f>
        <v>0</v>
      </c>
      <c r="AF11" s="17">
        <f>SUMIF(Ohj.lask.[Maakunta],Maakunt.[[#This Row],[Maakunta]],Ohj.lask.[Päätös, € 3])</f>
        <v>0</v>
      </c>
      <c r="AG11" s="18">
        <f>SUMIF(Ohj.lask.[Maakunta],Maakunt.[[#This Row],[Maakunta]],Ohj.lask.[Hakemus, € 4])</f>
        <v>0</v>
      </c>
      <c r="AH11" s="17">
        <f>SUMIF(Ohj.lask.[Maakunta],Maakunt.[[#This Row],[Maakunta]],Ohj.lask.[Päätös, € 4])</f>
        <v>0</v>
      </c>
      <c r="AI11" s="18">
        <f>SUMIF(Ohj.lask.[Maakunta],Maakunt.[[#This Row],[Maakunta]],Ohj.lask.[Hakemus, € 5])</f>
        <v>0</v>
      </c>
      <c r="AJ11" s="23">
        <f>SUMIF(Ohj.lask.[Maakunta],Maakunt.[[#This Row],[Maakunta]],Ohj.lask.[Päätös, € 5])</f>
        <v>0</v>
      </c>
      <c r="AK11" s="18">
        <f>SUMIF(Ohj.lask.[Maakunta],Maakunt.[[#This Row],[Maakunta]],Ohj.lask.[Hakemus, € 6])</f>
        <v>800000</v>
      </c>
      <c r="AL11" s="17">
        <f>SUMIF(Ohj.lask.[Maakunta],Maakunt.[[#This Row],[Maakunta]],Ohj.lask.[Päätös, € 6])</f>
        <v>0</v>
      </c>
      <c r="AM11" s="18">
        <f>SUMIF(Ohj.lask.[Maakunta],Maakunt.[[#This Row],[Maakunta]],Ohj.lask.[Hakemus, € 7])</f>
        <v>50000</v>
      </c>
      <c r="AN11" s="23">
        <f>SUMIF(Ohj.lask.[Maakunta],Maakunt.[[#This Row],[Maakunta]],Ohj.lask.[Päätös, € 7])</f>
        <v>50000</v>
      </c>
      <c r="AO11" s="17">
        <f>SUMIF(Ohj.lask.[Maakunta],Maakunt.[[#This Row],[Maakunta]],Ohj.lask.[Hakemus, € 8])</f>
        <v>50000</v>
      </c>
      <c r="AP11" s="17">
        <f>SUMIF(Ohj.lask.[Maakunta],Maakunt.[[#This Row],[Maakunta]],Ohj.lask.[Päätös, € 8])</f>
        <v>29000</v>
      </c>
      <c r="AQ11" s="18">
        <f>Maakunt.[[#This Row],[Hakemus, € 1]]+Maakunt.[[#This Row],[Hakemus, € 2]]+Maakunt.[[#This Row],[Hakemus, € 3]]+Maakunt.[[#This Row],[Hakemus, € 4]]+Maakunt.[[#This Row],[Hakemus, € 5]]+Maakunt.[[#This Row],[Hakemus, € 6]]+Maakunt.[[#This Row],[Hakemus, € 7]]+Maakunt.[[#This Row],[Hakemus, € 8]]</f>
        <v>900000</v>
      </c>
      <c r="AR11" s="17">
        <f>Maakunt.[[#This Row],[Päätös, € 1]]+Maakunt.[[#This Row],[Päätös, € 2]]+Maakunt.[[#This Row],[Päätös, € 3]]+Maakunt.[[#This Row],[Päätös, € 4]]+Maakunt.[[#This Row],[Päätös, € 5]]+Maakunt.[[#This Row],[Päätös, € 6]]+Maakunt.[[#This Row],[Päätös, € 7]]+Maakunt.[[#This Row],[Päätös, € 8]]</f>
        <v>79000</v>
      </c>
      <c r="AS11" s="18">
        <f>SUMIF(Ohj.lask.[Maakunta],Maakunt.[[#This Row],[Maakunta]],Ohj.lask.[Suoriteperusteinen (opiskelijavuosiin perustuva) sekä harkinnanvarainen korotus, €])</f>
        <v>20075299</v>
      </c>
      <c r="AT11" s="18">
        <f>SUMIF(Ohj.lask.[Maakunta],Maakunt.[[#This Row],[Maakunta]],Ohj.lask.[Suoritusrahoitus, €])</f>
        <v>6165570</v>
      </c>
      <c r="AU11" s="18">
        <f>SUMIF(Ohj.lask.[Maakunta],Maakunt.[[#This Row],[Maakunta]],Ohj.lask.[Työllistymiseen ja jatko-opintoihin siirtymiseen perustuva sekä opiskelija-palautteisiin perustuva, €])</f>
        <v>3353859</v>
      </c>
      <c r="AV11" s="42">
        <f>SUMIF(Ohj.lask.[Maakunta],Maakunt.[[#This Row],[Maakunta]],Ohj.lask.[Perus-, suoritus- ja vaikuttavuusrahoitus yhteensä, €])</f>
        <v>29594728</v>
      </c>
      <c r="AW11" s="19">
        <f>Maakunt.[[#This Row],[Jaettava € 1]]/Maakunt.[[#This Row],[Perus-, suoritus- ja vaikuttavuusrahoitus yhteensä, €]]</f>
        <v>0.67567098437262207</v>
      </c>
      <c r="AX11" s="16">
        <f>Maakunt.[[#This Row],[Suoriteperusteinen (opiskelijavuosiin perustuva) sekä harkinnanvarainen korotus, €]]/Maakunt.[[#This Row],[Perus-, suoritus- ja vaikuttavuusrahoitus yhteensä, €]]</f>
        <v>0.67834037873232012</v>
      </c>
      <c r="AY11" s="49">
        <f>Maakunt.[[#This Row],[Suoritusrahoitus, €]]/Maakunt.[[#This Row],[Perus-, suoritus- ja vaikuttavuusrahoitus yhteensä, €]]</f>
        <v>0.20833338964967005</v>
      </c>
      <c r="AZ11" s="16">
        <f>Maakunt.[[#This Row],[Työllistymiseen ja jatko-opintoihin siirtymiseen perustuva sekä opiskelija-palautteisiin perustuva, €]]/Maakunt.[[#This Row],[Perus-, suoritus- ja vaikuttavuusrahoitus yhteensä, €]]</f>
        <v>0.1133262316180098</v>
      </c>
      <c r="BA11" s="16">
        <f>SUMIF(Ohj.lask.[Maakunta],Maakunt.[[#This Row],[Maakunta]],Ohj.lask.[Jaettava € 3])/Maakunt.[[#This Row],[Perus-, suoritus- ja vaikuttavuusrahoitus yhteensä, €]]</f>
        <v>8.3922345898904696E-2</v>
      </c>
      <c r="BB11" s="16">
        <f>SUMIF(Ohj.lask.[Maakunta],Maakunt.[[#This Row],[Maakunta]],Ohj.lask.[Jaettava € 4])/Maakunt.[[#This Row],[Perus-, suoritus- ja vaikuttavuusrahoitus yhteensä, €]]</f>
        <v>6.7313340403060981E-3</v>
      </c>
      <c r="BC11" s="43">
        <f>SUMIF(Ohj.lask.[Maakunta],Maakunt.[[#This Row],[Maakunta]],Ohj.lask.[Jaettava € 5])/Maakunt.[[#This Row],[Perus-, suoritus- ja vaikuttavuusrahoitus yhteensä, €]]</f>
        <v>2.2672551678799009E-2</v>
      </c>
      <c r="BD11" s="18">
        <f>SUMIF(Vertailu[Maakunta],Maakunt.[[#This Row],[Maakunta]],Vertailu[Rahoitus ml. hark. kor. 
2020 ilman alv, €])</f>
        <v>28495941</v>
      </c>
      <c r="BE11" s="18">
        <f>SUMIF(Vertailu[Maakunta],Maakunt.[[#This Row],[Maakunta]],Vertailu[Rahoitus ml. hark. kor. 
2021 ilman alv, €])</f>
        <v>29594728</v>
      </c>
      <c r="BF11" s="18">
        <f>SUMIF(Vertailu[Maakunta],Maakunt.[[#This Row],[Maakunta]],Vertailu[Muutos, € 2])</f>
        <v>1098787</v>
      </c>
      <c r="BG11" s="43">
        <f>IFERROR(Maakunt.[[#This Row],[Muutos, € 2]]/Maakunt.[[#This Row],[Rahoitus ml. hark. kor. 
2020 ilman alv, €]],0)</f>
        <v>3.855942149796001E-2</v>
      </c>
    </row>
    <row r="12" spans="1:59" x14ac:dyDescent="0.2">
      <c r="A12" s="22" t="s">
        <v>218</v>
      </c>
      <c r="B12" s="22">
        <f>COUNTIF(Ohj.lask.[Maakunta],Maakunt.[[#This Row],[Maakunta]])</f>
        <v>5</v>
      </c>
      <c r="C12" s="22">
        <f>COUNTIFS(Ohj.lask.[Maakunta],Maakunt.[[#This Row],[Maakunta]],Ohj.lask.[Omistajatyyppi],"=yksityinen")</f>
        <v>3</v>
      </c>
      <c r="D12" s="22">
        <f>COUNTIFS(Ohj.lask.[Maakunta],Maakunt.[[#This Row],[Maakunta]],Ohj.lask.[Omistajatyyppi],"=kunta")</f>
        <v>0</v>
      </c>
      <c r="E12" s="22">
        <f>COUNTIFS(Ohj.lask.[Maakunta],Maakunt.[[#This Row],[Maakunta]],Ohj.lask.[Omistajatyyppi],"=kuntayhtymä")</f>
        <v>2</v>
      </c>
      <c r="F12" s="18">
        <f>SUMIF(Ohj.lask.[Maakunta],Maakunt.[[#This Row],[Maakunta]],Ohj.lask.[Järjestämisluvan opisk.vuosien vähimmäismäärä])</f>
        <v>8093</v>
      </c>
      <c r="G12" s="17">
        <f>SUMIF(Ohj.lask.[Maakunta],Maakunt.[[#This Row],[Maakunta]],Ohj.lask.[Suoritepäätöksellä jaettavat opisk.vuodet (luvan ylittävä osuus)])</f>
        <v>290</v>
      </c>
      <c r="H12" s="17">
        <f>SUMIF(Ohj.lask.[Maakunta],Maakunt.[[#This Row],[Maakunta]],Ohj.lask.[Tavoitteelliset opiskelija-vuodet])</f>
        <v>8383</v>
      </c>
      <c r="I12" s="80">
        <f>Maakunt.[[#This Row],[Painotetut opiskelija-vuodet]]/Maakunt.[[#This Row],[Tavoitteelliset opiskelija-vuodet]]</f>
        <v>1.0638315638792795</v>
      </c>
      <c r="J12" s="81">
        <f>SUMIF(Ohj.lask.[Maakunta],Maakunt.[[#This Row],[Maakunta]],Ohj.lask.[Painotetut opiskelija-vuodet])</f>
        <v>8918.1</v>
      </c>
      <c r="K12" s="16">
        <f>SUMIF(Ohj.lask.[Maakunta],Maakunt.[[#This Row],[Maakunta]],Ohj.lask.[%-osuus 1])</f>
        <v>4.3551534590801862E-2</v>
      </c>
      <c r="L12" s="17">
        <f>SUMIF(Ohj.lask.[Maakunta],Maakunt.[[#This Row],[Maakunta]],Ohj.lask.[Jaettava € 1])</f>
        <v>54851895</v>
      </c>
      <c r="M12" s="18">
        <f>SUMIF(Ohj.lask.[Maakunta],Maakunt.[[#This Row],[Maakunta]],Ohj.lask.[Painotetut pisteet 2])</f>
        <v>771012.20000000007</v>
      </c>
      <c r="N12" s="16">
        <f>SUMIF(Ohj.lask.[Maakunta],Maakunt.[[#This Row],[Maakunta]],Ohj.lask.[%-osuus 2])</f>
        <v>4.9495944741367613E-2</v>
      </c>
      <c r="O12" s="17">
        <f>SUMIF(Ohj.lask.[Maakunta],Maakunt.[[#This Row],[Maakunta]],Ohj.lask.[Jaettava € 2])</f>
        <v>18174019</v>
      </c>
      <c r="P12" s="18">
        <f>SUMIF(Ohj.lask.[Maakunta],Maakunt.[[#This Row],[Maakunta]],Ohj.lask.[Painotetut pisteet 3])</f>
        <v>10856.000000000002</v>
      </c>
      <c r="Q12" s="16">
        <f>SUMIF(Ohj.lask.[Maakunta],Maakunt.[[#This Row],[Maakunta]],Ohj.lask.[%-osuus 3])</f>
        <v>5.4546486861562181E-2</v>
      </c>
      <c r="R12" s="17">
        <f>SUMIF(Ohj.lask.[Maakunta],Maakunt.[[#This Row],[Maakunta]],Ohj.lask.[Jaettava € 3])</f>
        <v>7510683</v>
      </c>
      <c r="S12" s="18">
        <f>SUMIF(Ohj.lask.[Maakunta],Maakunt.[[#This Row],[Maakunta]],Ohj.lask.[Painotetut pisteet 4])</f>
        <v>68569.900000000009</v>
      </c>
      <c r="T12" s="16">
        <f>SUMIF(Ohj.lask.[Maakunta],Maakunt.[[#This Row],[Maakunta]],Ohj.lask.[%-osuus 4])</f>
        <v>4.1657126176563405E-2</v>
      </c>
      <c r="U12" s="17">
        <f>SUMIF(Ohj.lask.[Maakunta],Maakunt.[[#This Row],[Maakunta]],Ohj.lask.[Jaettava € 4])</f>
        <v>477992</v>
      </c>
      <c r="V12" s="18">
        <f>SUMIF(Ohj.lask.[Maakunta],Maakunt.[[#This Row],[Maakunta]],Ohj.lask.[Painotetut pisteet 5])</f>
        <v>406655.7</v>
      </c>
      <c r="W12" s="16">
        <f>SUMIF(Ohj.lask.[Maakunta],Maakunt.[[#This Row],[Maakunta]],Ohj.lask.[%-osuus 5])</f>
        <v>4.7168047614226855E-2</v>
      </c>
      <c r="X12" s="17">
        <f>SUMIF(Ohj.lask.[Maakunta],Maakunt.[[#This Row],[Maakunta]],Ohj.lask.[Jaettava € 5])</f>
        <v>1623679</v>
      </c>
      <c r="Y12" s="19">
        <f>SUMIF(Ohj.lask.[Maakunta],Maakunt.[[#This Row],[Maakunta]],Ohj.lask.[%-osuus 6])</f>
        <v>4.5650347460975904E-2</v>
      </c>
      <c r="Z12" s="17">
        <f>SUMIF(Ohj.lask.[Maakunta],Maakunt.[[#This Row],[Maakunta]],Ohj.lask.[Jaettava € 6])</f>
        <v>82638268</v>
      </c>
      <c r="AA12" s="18">
        <f>SUMIF(Ohj.lask.[Maakunta],Maakunt.[[#This Row],[Maakunta]],Ohj.lask.[Hakemus, € 1])</f>
        <v>0</v>
      </c>
      <c r="AB12" s="17">
        <f>SUMIF(Ohj.lask.[Maakunta],Maakunt.[[#This Row],[Maakunta]],Ohj.lask.[Päätös, € 1])</f>
        <v>0</v>
      </c>
      <c r="AC12" s="18">
        <f>SUMIF(Ohj.lask.[Maakunta],Maakunt.[[#This Row],[Maakunta]],Ohj.lask.[Hakemus, € 2])</f>
        <v>0</v>
      </c>
      <c r="AD12" s="17">
        <f>SUMIF(Ohj.lask.[Maakunta],Maakunt.[[#This Row],[Maakunta]],Ohj.lask.[Päätös, € 2])</f>
        <v>0</v>
      </c>
      <c r="AE12" s="18">
        <f>SUMIF(Ohj.lask.[Maakunta],Maakunt.[[#This Row],[Maakunta]],Ohj.lask.[Hakemus, € 3])</f>
        <v>0</v>
      </c>
      <c r="AF12" s="17">
        <f>SUMIF(Ohj.lask.[Maakunta],Maakunt.[[#This Row],[Maakunta]],Ohj.lask.[Päätös, € 3])</f>
        <v>0</v>
      </c>
      <c r="AG12" s="18">
        <f>SUMIF(Ohj.lask.[Maakunta],Maakunt.[[#This Row],[Maakunta]],Ohj.lask.[Hakemus, € 4])</f>
        <v>470000</v>
      </c>
      <c r="AH12" s="17">
        <f>SUMIF(Ohj.lask.[Maakunta],Maakunt.[[#This Row],[Maakunta]],Ohj.lask.[Päätös, € 4])</f>
        <v>0</v>
      </c>
      <c r="AI12" s="18">
        <f>SUMIF(Ohj.lask.[Maakunta],Maakunt.[[#This Row],[Maakunta]],Ohj.lask.[Hakemus, € 5])</f>
        <v>0</v>
      </c>
      <c r="AJ12" s="23">
        <f>SUMIF(Ohj.lask.[Maakunta],Maakunt.[[#This Row],[Maakunta]],Ohj.lask.[Päätös, € 5])</f>
        <v>0</v>
      </c>
      <c r="AK12" s="18">
        <f>SUMIF(Ohj.lask.[Maakunta],Maakunt.[[#This Row],[Maakunta]],Ohj.lask.[Hakemus, € 6])</f>
        <v>0</v>
      </c>
      <c r="AL12" s="17">
        <f>SUMIF(Ohj.lask.[Maakunta],Maakunt.[[#This Row],[Maakunta]],Ohj.lask.[Päätös, € 6])</f>
        <v>0</v>
      </c>
      <c r="AM12" s="18">
        <f>SUMIF(Ohj.lask.[Maakunta],Maakunt.[[#This Row],[Maakunta]],Ohj.lask.[Hakemus, € 7])</f>
        <v>35000</v>
      </c>
      <c r="AN12" s="23">
        <f>SUMIF(Ohj.lask.[Maakunta],Maakunt.[[#This Row],[Maakunta]],Ohj.lask.[Päätös, € 7])</f>
        <v>0</v>
      </c>
      <c r="AO12" s="17">
        <f>SUMIF(Ohj.lask.[Maakunta],Maakunt.[[#This Row],[Maakunta]],Ohj.lask.[Hakemus, € 8])</f>
        <v>50000</v>
      </c>
      <c r="AP12" s="17">
        <f>SUMIF(Ohj.lask.[Maakunta],Maakunt.[[#This Row],[Maakunta]],Ohj.lask.[Päätös, € 8])</f>
        <v>40000</v>
      </c>
      <c r="AQ12" s="18">
        <f>Maakunt.[[#This Row],[Hakemus, € 1]]+Maakunt.[[#This Row],[Hakemus, € 2]]+Maakunt.[[#This Row],[Hakemus, € 3]]+Maakunt.[[#This Row],[Hakemus, € 4]]+Maakunt.[[#This Row],[Hakemus, € 5]]+Maakunt.[[#This Row],[Hakemus, € 6]]+Maakunt.[[#This Row],[Hakemus, € 7]]+Maakunt.[[#This Row],[Hakemus, € 8]]</f>
        <v>555000</v>
      </c>
      <c r="AR12" s="17">
        <f>Maakunt.[[#This Row],[Päätös, € 1]]+Maakunt.[[#This Row],[Päätös, € 2]]+Maakunt.[[#This Row],[Päätös, € 3]]+Maakunt.[[#This Row],[Päätös, € 4]]+Maakunt.[[#This Row],[Päätös, € 5]]+Maakunt.[[#This Row],[Päätös, € 6]]+Maakunt.[[#This Row],[Päätös, € 7]]+Maakunt.[[#This Row],[Päätös, € 8]]</f>
        <v>40000</v>
      </c>
      <c r="AS12" s="18">
        <f>SUMIF(Ohj.lask.[Maakunta],Maakunt.[[#This Row],[Maakunta]],Ohj.lask.[Suoriteperusteinen (opiskelijavuosiin perustuva) sekä harkinnanvarainen korotus, €])</f>
        <v>54891895</v>
      </c>
      <c r="AT12" s="18">
        <f>SUMIF(Ohj.lask.[Maakunta],Maakunt.[[#This Row],[Maakunta]],Ohj.lask.[Suoritusrahoitus, €])</f>
        <v>18174019</v>
      </c>
      <c r="AU12" s="18">
        <f>SUMIF(Ohj.lask.[Maakunta],Maakunt.[[#This Row],[Maakunta]],Ohj.lask.[Työllistymiseen ja jatko-opintoihin siirtymiseen perustuva sekä opiskelija-palautteisiin perustuva, €])</f>
        <v>9612354</v>
      </c>
      <c r="AV12" s="42">
        <f>SUMIF(Ohj.lask.[Maakunta],Maakunt.[[#This Row],[Maakunta]],Ohj.lask.[Perus-, suoritus- ja vaikuttavuusrahoitus yhteensä, €])</f>
        <v>82678268</v>
      </c>
      <c r="AW12" s="19">
        <f>Maakunt.[[#This Row],[Jaettava € 1]]/Maakunt.[[#This Row],[Perus-, suoritus- ja vaikuttavuusrahoitus yhteensä, €]]</f>
        <v>0.66343788188693065</v>
      </c>
      <c r="AX12" s="16">
        <f>Maakunt.[[#This Row],[Suoriteperusteinen (opiskelijavuosiin perustuva) sekä harkinnanvarainen korotus, €]]/Maakunt.[[#This Row],[Perus-, suoritus- ja vaikuttavuusrahoitus yhteensä, €]]</f>
        <v>0.66392168495837378</v>
      </c>
      <c r="AY12" s="49">
        <f>Maakunt.[[#This Row],[Suoritusrahoitus, €]]/Maakunt.[[#This Row],[Perus-, suoritus- ja vaikuttavuusrahoitus yhteensä, €]]</f>
        <v>0.21981615531665469</v>
      </c>
      <c r="AZ12" s="16">
        <f>Maakunt.[[#This Row],[Työllistymiseen ja jatko-opintoihin siirtymiseen perustuva sekä opiskelija-palautteisiin perustuva, €]]/Maakunt.[[#This Row],[Perus-, suoritus- ja vaikuttavuusrahoitus yhteensä, €]]</f>
        <v>0.1162621597249715</v>
      </c>
      <c r="BA12" s="16">
        <f>SUMIF(Ohj.lask.[Maakunta],Maakunt.[[#This Row],[Maakunta]],Ohj.lask.[Jaettava € 3])/Maakunt.[[#This Row],[Perus-, suoritus- ja vaikuttavuusrahoitus yhteensä, €]]</f>
        <v>9.0842287600896521E-2</v>
      </c>
      <c r="BB12" s="16">
        <f>SUMIF(Ohj.lask.[Maakunta],Maakunt.[[#This Row],[Maakunta]],Ohj.lask.[Jaettava € 4])/Maakunt.[[#This Row],[Perus-, suoritus- ja vaikuttavuusrahoitus yhteensä, €]]</f>
        <v>5.781349943131368E-3</v>
      </c>
      <c r="BC12" s="43">
        <f>SUMIF(Ohj.lask.[Maakunta],Maakunt.[[#This Row],[Maakunta]],Ohj.lask.[Jaettava € 5])/Maakunt.[[#This Row],[Perus-, suoritus- ja vaikuttavuusrahoitus yhteensä, €]]</f>
        <v>1.9638522180943606E-2</v>
      </c>
      <c r="BD12" s="18">
        <f>SUMIF(Vertailu[Maakunta],Maakunt.[[#This Row],[Maakunta]],Vertailu[Rahoitus ml. hark. kor. 
2020 ilman alv, €])</f>
        <v>85024214</v>
      </c>
      <c r="BE12" s="18">
        <f>SUMIF(Vertailu[Maakunta],Maakunt.[[#This Row],[Maakunta]],Vertailu[Rahoitus ml. hark. kor. 
2021 ilman alv, €])</f>
        <v>82678268</v>
      </c>
      <c r="BF12" s="18">
        <f>SUMIF(Vertailu[Maakunta],Maakunt.[[#This Row],[Maakunta]],Vertailu[Muutos, € 2])</f>
        <v>-2345946</v>
      </c>
      <c r="BG12" s="43">
        <f>IFERROR(Maakunt.[[#This Row],[Muutos, € 2]]/Maakunt.[[#This Row],[Rahoitus ml. hark. kor. 
2020 ilman alv, €]],0)</f>
        <v>-2.7591504697708821E-2</v>
      </c>
    </row>
    <row r="13" spans="1:59" x14ac:dyDescent="0.2">
      <c r="A13" s="22" t="s">
        <v>234</v>
      </c>
      <c r="B13" s="22">
        <f>COUNTIF(Ohj.lask.[Maakunta],Maakunt.[[#This Row],[Maakunta]])</f>
        <v>5</v>
      </c>
      <c r="C13" s="22">
        <f>COUNTIFS(Ohj.lask.[Maakunta],Maakunt.[[#This Row],[Maakunta]],Ohj.lask.[Omistajatyyppi],"=yksityinen")</f>
        <v>3</v>
      </c>
      <c r="D13" s="22">
        <f>COUNTIFS(Ohj.lask.[Maakunta],Maakunt.[[#This Row],[Maakunta]],Ohj.lask.[Omistajatyyppi],"=kunta")</f>
        <v>1</v>
      </c>
      <c r="E13" s="22">
        <f>COUNTIFS(Ohj.lask.[Maakunta],Maakunt.[[#This Row],[Maakunta]],Ohj.lask.[Omistajatyyppi],"=kuntayhtymä")</f>
        <v>1</v>
      </c>
      <c r="F13" s="18">
        <f>SUMIF(Ohj.lask.[Maakunta],Maakunt.[[#This Row],[Maakunta]],Ohj.lask.[Järjestämisluvan opisk.vuosien vähimmäismäärä])</f>
        <v>4849</v>
      </c>
      <c r="G13" s="17">
        <f>SUMIF(Ohj.lask.[Maakunta],Maakunt.[[#This Row],[Maakunta]],Ohj.lask.[Suoritepäätöksellä jaettavat opisk.vuodet (luvan ylittävä osuus)])</f>
        <v>723</v>
      </c>
      <c r="H13" s="17">
        <f>SUMIF(Ohj.lask.[Maakunta],Maakunt.[[#This Row],[Maakunta]],Ohj.lask.[Tavoitteelliset opiskelija-vuodet])</f>
        <v>5572</v>
      </c>
      <c r="I13" s="80">
        <f>Maakunt.[[#This Row],[Painotetut opiskelija-vuodet]]/Maakunt.[[#This Row],[Tavoitteelliset opiskelija-vuodet]]</f>
        <v>1.0526022972002873</v>
      </c>
      <c r="J13" s="81">
        <f>SUMIF(Ohj.lask.[Maakunta],Maakunt.[[#This Row],[Maakunta]],Ohj.lask.[Painotetut opiskelija-vuodet])</f>
        <v>5865.1</v>
      </c>
      <c r="K13" s="16">
        <f>SUMIF(Ohj.lask.[Maakunta],Maakunt.[[#This Row],[Maakunta]],Ohj.lask.[%-osuus 1])</f>
        <v>2.8642211404728807E-2</v>
      </c>
      <c r="L13" s="17">
        <f>SUMIF(Ohj.lask.[Maakunta],Maakunt.[[#This Row],[Maakunta]],Ohj.lask.[Jaettava € 1])</f>
        <v>36074035</v>
      </c>
      <c r="M13" s="18">
        <f>SUMIF(Ohj.lask.[Maakunta],Maakunt.[[#This Row],[Maakunta]],Ohj.lask.[Painotetut pisteet 2])</f>
        <v>432300.60000000003</v>
      </c>
      <c r="N13" s="16">
        <f>SUMIF(Ohj.lask.[Maakunta],Maakunt.[[#This Row],[Maakunta]],Ohj.lask.[%-osuus 2])</f>
        <v>2.775199485722802E-2</v>
      </c>
      <c r="O13" s="17">
        <f>SUMIF(Ohj.lask.[Maakunta],Maakunt.[[#This Row],[Maakunta]],Ohj.lask.[Jaettava € 2])</f>
        <v>10190033</v>
      </c>
      <c r="P13" s="18">
        <f>SUMIF(Ohj.lask.[Maakunta],Maakunt.[[#This Row],[Maakunta]],Ohj.lask.[Painotetut pisteet 3])</f>
        <v>6011</v>
      </c>
      <c r="Q13" s="16">
        <f>SUMIF(Ohj.lask.[Maakunta],Maakunt.[[#This Row],[Maakunta]],Ohj.lask.[%-osuus 3])</f>
        <v>3.0202554580402569E-2</v>
      </c>
      <c r="R13" s="17">
        <f>SUMIF(Ohj.lask.[Maakunta],Maakunt.[[#This Row],[Maakunta]],Ohj.lask.[Jaettava € 3])</f>
        <v>4158688</v>
      </c>
      <c r="S13" s="18">
        <f>SUMIF(Ohj.lask.[Maakunta],Maakunt.[[#This Row],[Maakunta]],Ohj.lask.[Painotetut pisteet 4])</f>
        <v>37292</v>
      </c>
      <c r="T13" s="16">
        <f>SUMIF(Ohj.lask.[Maakunta],Maakunt.[[#This Row],[Maakunta]],Ohj.lask.[%-osuus 4])</f>
        <v>2.2655385954717777E-2</v>
      </c>
      <c r="U13" s="17">
        <f>SUMIF(Ohj.lask.[Maakunta],Maakunt.[[#This Row],[Maakunta]],Ohj.lask.[Jaettava € 4])</f>
        <v>259957</v>
      </c>
      <c r="V13" s="18">
        <f>SUMIF(Ohj.lask.[Maakunta],Maakunt.[[#This Row],[Maakunta]],Ohj.lask.[Painotetut pisteet 5])</f>
        <v>220559.7</v>
      </c>
      <c r="W13" s="16">
        <f>SUMIF(Ohj.lask.[Maakunta],Maakunt.[[#This Row],[Maakunta]],Ohj.lask.[%-osuus 5])</f>
        <v>2.5582748333245028E-2</v>
      </c>
      <c r="X13" s="17">
        <f>SUMIF(Ohj.lask.[Maakunta],Maakunt.[[#This Row],[Maakunta]],Ohj.lask.[Jaettava € 5])</f>
        <v>880644</v>
      </c>
      <c r="Y13" s="19">
        <f>SUMIF(Ohj.lask.[Maakunta],Maakunt.[[#This Row],[Maakunta]],Ohj.lask.[%-osuus 6])</f>
        <v>2.8484202540454313E-2</v>
      </c>
      <c r="Z13" s="17">
        <f>SUMIF(Ohj.lask.[Maakunta],Maakunt.[[#This Row],[Maakunta]],Ohj.lask.[Jaettava € 6])</f>
        <v>51563357</v>
      </c>
      <c r="AA13" s="18">
        <f>SUMIF(Ohj.lask.[Maakunta],Maakunt.[[#This Row],[Maakunta]],Ohj.lask.[Hakemus, € 1])</f>
        <v>300000</v>
      </c>
      <c r="AB13" s="17">
        <f>SUMIF(Ohj.lask.[Maakunta],Maakunt.[[#This Row],[Maakunta]],Ohj.lask.[Päätös, € 1])</f>
        <v>0</v>
      </c>
      <c r="AC13" s="18">
        <f>SUMIF(Ohj.lask.[Maakunta],Maakunt.[[#This Row],[Maakunta]],Ohj.lask.[Hakemus, € 2])</f>
        <v>145000</v>
      </c>
      <c r="AD13" s="17">
        <f>SUMIF(Ohj.lask.[Maakunta],Maakunt.[[#This Row],[Maakunta]],Ohj.lask.[Päätös, € 2])</f>
        <v>0</v>
      </c>
      <c r="AE13" s="18">
        <f>SUMIF(Ohj.lask.[Maakunta],Maakunt.[[#This Row],[Maakunta]],Ohj.lask.[Hakemus, € 3])</f>
        <v>0</v>
      </c>
      <c r="AF13" s="17">
        <f>SUMIF(Ohj.lask.[Maakunta],Maakunt.[[#This Row],[Maakunta]],Ohj.lask.[Päätös, € 3])</f>
        <v>0</v>
      </c>
      <c r="AG13" s="18">
        <f>SUMIF(Ohj.lask.[Maakunta],Maakunt.[[#This Row],[Maakunta]],Ohj.lask.[Hakemus, € 4])</f>
        <v>111400</v>
      </c>
      <c r="AH13" s="17">
        <f>SUMIF(Ohj.lask.[Maakunta],Maakunt.[[#This Row],[Maakunta]],Ohj.lask.[Päätös, € 4])</f>
        <v>0</v>
      </c>
      <c r="AI13" s="18">
        <f>SUMIF(Ohj.lask.[Maakunta],Maakunt.[[#This Row],[Maakunta]],Ohj.lask.[Hakemus, € 5])</f>
        <v>0</v>
      </c>
      <c r="AJ13" s="23">
        <f>SUMIF(Ohj.lask.[Maakunta],Maakunt.[[#This Row],[Maakunta]],Ohj.lask.[Päätös, € 5])</f>
        <v>120000</v>
      </c>
      <c r="AK13" s="18">
        <f>SUMIF(Ohj.lask.[Maakunta],Maakunt.[[#This Row],[Maakunta]],Ohj.lask.[Hakemus, € 6])</f>
        <v>0</v>
      </c>
      <c r="AL13" s="17">
        <f>SUMIF(Ohj.lask.[Maakunta],Maakunt.[[#This Row],[Maakunta]],Ohj.lask.[Päätös, € 6])</f>
        <v>0</v>
      </c>
      <c r="AM13" s="18">
        <f>SUMIF(Ohj.lask.[Maakunta],Maakunt.[[#This Row],[Maakunta]],Ohj.lask.[Hakemus, € 7])</f>
        <v>50000</v>
      </c>
      <c r="AN13" s="23">
        <f>SUMIF(Ohj.lask.[Maakunta],Maakunt.[[#This Row],[Maakunta]],Ohj.lask.[Päätös, € 7])</f>
        <v>0</v>
      </c>
      <c r="AO13" s="17">
        <f>SUMIF(Ohj.lask.[Maakunta],Maakunt.[[#This Row],[Maakunta]],Ohj.lask.[Hakemus, € 8])</f>
        <v>40000</v>
      </c>
      <c r="AP13" s="17">
        <f>SUMIF(Ohj.lask.[Maakunta],Maakunt.[[#This Row],[Maakunta]],Ohj.lask.[Päätös, € 8])</f>
        <v>17000</v>
      </c>
      <c r="AQ13" s="18">
        <f>Maakunt.[[#This Row],[Hakemus, € 1]]+Maakunt.[[#This Row],[Hakemus, € 2]]+Maakunt.[[#This Row],[Hakemus, € 3]]+Maakunt.[[#This Row],[Hakemus, € 4]]+Maakunt.[[#This Row],[Hakemus, € 5]]+Maakunt.[[#This Row],[Hakemus, € 6]]+Maakunt.[[#This Row],[Hakemus, € 7]]+Maakunt.[[#This Row],[Hakemus, € 8]]</f>
        <v>646400</v>
      </c>
      <c r="AR13" s="17">
        <f>Maakunt.[[#This Row],[Päätös, € 1]]+Maakunt.[[#This Row],[Päätös, € 2]]+Maakunt.[[#This Row],[Päätös, € 3]]+Maakunt.[[#This Row],[Päätös, € 4]]+Maakunt.[[#This Row],[Päätös, € 5]]+Maakunt.[[#This Row],[Päätös, € 6]]+Maakunt.[[#This Row],[Päätös, € 7]]+Maakunt.[[#This Row],[Päätös, € 8]]</f>
        <v>137000</v>
      </c>
      <c r="AS13" s="18">
        <f>SUMIF(Ohj.lask.[Maakunta],Maakunt.[[#This Row],[Maakunta]],Ohj.lask.[Suoriteperusteinen (opiskelijavuosiin perustuva) sekä harkinnanvarainen korotus, €])</f>
        <v>36211035</v>
      </c>
      <c r="AT13" s="18">
        <f>SUMIF(Ohj.lask.[Maakunta],Maakunt.[[#This Row],[Maakunta]],Ohj.lask.[Suoritusrahoitus, €])</f>
        <v>10190033</v>
      </c>
      <c r="AU13" s="18">
        <f>SUMIF(Ohj.lask.[Maakunta],Maakunt.[[#This Row],[Maakunta]],Ohj.lask.[Työllistymiseen ja jatko-opintoihin siirtymiseen perustuva sekä opiskelija-palautteisiin perustuva, €])</f>
        <v>5299289</v>
      </c>
      <c r="AV13" s="42">
        <f>SUMIF(Ohj.lask.[Maakunta],Maakunt.[[#This Row],[Maakunta]],Ohj.lask.[Perus-, suoritus- ja vaikuttavuusrahoitus yhteensä, €])</f>
        <v>51700357</v>
      </c>
      <c r="AW13" s="19">
        <f>Maakunt.[[#This Row],[Jaettava € 1]]/Maakunt.[[#This Row],[Perus-, suoritus- ja vaikuttavuusrahoitus yhteensä, €]]</f>
        <v>0.69775214511574846</v>
      </c>
      <c r="AX13" s="16">
        <f>Maakunt.[[#This Row],[Suoriteperusteinen (opiskelijavuosiin perustuva) sekä harkinnanvarainen korotus, €]]/Maakunt.[[#This Row],[Perus-, suoritus- ja vaikuttavuusrahoitus yhteensä, €]]</f>
        <v>0.70040203010590429</v>
      </c>
      <c r="AY13" s="49">
        <f>Maakunt.[[#This Row],[Suoritusrahoitus, €]]/Maakunt.[[#This Row],[Perus-, suoritus- ja vaikuttavuusrahoitus yhteensä, €]]</f>
        <v>0.19709792332768611</v>
      </c>
      <c r="AZ13" s="16">
        <f>Maakunt.[[#This Row],[Työllistymiseen ja jatko-opintoihin siirtymiseen perustuva sekä opiskelija-palautteisiin perustuva, €]]/Maakunt.[[#This Row],[Perus-, suoritus- ja vaikuttavuusrahoitus yhteensä, €]]</f>
        <v>0.10250004656640958</v>
      </c>
      <c r="BA13" s="16">
        <f>SUMIF(Ohj.lask.[Maakunta],Maakunt.[[#This Row],[Maakunta]],Ohj.lask.[Jaettava € 3])/Maakunt.[[#This Row],[Perus-, suoritus- ja vaikuttavuusrahoitus yhteensä, €]]</f>
        <v>8.0438284014170344E-2</v>
      </c>
      <c r="BB13" s="16">
        <f>SUMIF(Ohj.lask.[Maakunta],Maakunt.[[#This Row],[Maakunta]],Ohj.lask.[Jaettava € 4])/Maakunt.[[#This Row],[Perus-, suoritus- ja vaikuttavuusrahoitus yhteensä, €]]</f>
        <v>5.0281470977076616E-3</v>
      </c>
      <c r="BC13" s="43">
        <f>SUMIF(Ohj.lask.[Maakunta],Maakunt.[[#This Row],[Maakunta]],Ohj.lask.[Jaettava € 5])/Maakunt.[[#This Row],[Perus-, suoritus- ja vaikuttavuusrahoitus yhteensä, €]]</f>
        <v>1.7033615454531581E-2</v>
      </c>
      <c r="BD13" s="18">
        <f>SUMIF(Vertailu[Maakunta],Maakunt.[[#This Row],[Maakunta]],Vertailu[Rahoitus ml. hark. kor. 
2020 ilman alv, €])</f>
        <v>51298635</v>
      </c>
      <c r="BE13" s="18">
        <f>SUMIF(Vertailu[Maakunta],Maakunt.[[#This Row],[Maakunta]],Vertailu[Rahoitus ml. hark. kor. 
2021 ilman alv, €])</f>
        <v>51700357</v>
      </c>
      <c r="BF13" s="18">
        <f>SUMIF(Vertailu[Maakunta],Maakunt.[[#This Row],[Maakunta]],Vertailu[Muutos, € 2])</f>
        <v>401722</v>
      </c>
      <c r="BG13" s="43">
        <f>IFERROR(Maakunt.[[#This Row],[Muutos, € 2]]/Maakunt.[[#This Row],[Rahoitus ml. hark. kor. 
2020 ilman alv, €]],0)</f>
        <v>7.8310465765804495E-3</v>
      </c>
    </row>
    <row r="14" spans="1:59" x14ac:dyDescent="0.2">
      <c r="A14" s="22" t="s">
        <v>274</v>
      </c>
      <c r="B14" s="22">
        <f>COUNTIF(Ohj.lask.[Maakunta],Maakunt.[[#This Row],[Maakunta]])</f>
        <v>4</v>
      </c>
      <c r="C14" s="22">
        <f>COUNTIFS(Ohj.lask.[Maakunta],Maakunt.[[#This Row],[Maakunta]],Ohj.lask.[Omistajatyyppi],"=yksityinen")</f>
        <v>2</v>
      </c>
      <c r="D14" s="22">
        <f>COUNTIFS(Ohj.lask.[Maakunta],Maakunt.[[#This Row],[Maakunta]],Ohj.lask.[Omistajatyyppi],"=kunta")</f>
        <v>0</v>
      </c>
      <c r="E14" s="22">
        <f>COUNTIFS(Ohj.lask.[Maakunta],Maakunt.[[#This Row],[Maakunta]],Ohj.lask.[Omistajatyyppi],"=kuntayhtymä")</f>
        <v>2</v>
      </c>
      <c r="F14" s="18">
        <f>SUMIF(Ohj.lask.[Maakunta],Maakunt.[[#This Row],[Maakunta]],Ohj.lask.[Järjestämisluvan opisk.vuosien vähimmäismäärä])</f>
        <v>5651</v>
      </c>
      <c r="G14" s="17">
        <f>SUMIF(Ohj.lask.[Maakunta],Maakunt.[[#This Row],[Maakunta]],Ohj.lask.[Suoritepäätöksellä jaettavat opisk.vuodet (luvan ylittävä osuus)])</f>
        <v>443</v>
      </c>
      <c r="H14" s="17">
        <f>SUMIF(Ohj.lask.[Maakunta],Maakunt.[[#This Row],[Maakunta]],Ohj.lask.[Tavoitteelliset opiskelija-vuodet])</f>
        <v>6094</v>
      </c>
      <c r="I14" s="80">
        <f>Maakunt.[[#This Row],[Painotetut opiskelija-vuodet]]/Maakunt.[[#This Row],[Tavoitteelliset opiskelija-vuodet]]</f>
        <v>1.1295208401706596</v>
      </c>
      <c r="J14" s="81">
        <f>SUMIF(Ohj.lask.[Maakunta],Maakunt.[[#This Row],[Maakunta]],Ohj.lask.[Painotetut opiskelija-vuodet])</f>
        <v>6883.2999999999993</v>
      </c>
      <c r="K14" s="16">
        <f>SUMIF(Ohj.lask.[Maakunta],Maakunt.[[#This Row],[Maakunta]],Ohj.lask.[%-osuus 1])</f>
        <v>3.3614590333015594E-2</v>
      </c>
      <c r="L14" s="17">
        <f>SUMIF(Ohj.lask.[Maakunta],Maakunt.[[#This Row],[Maakunta]],Ohj.lask.[Jaettava € 1])</f>
        <v>42336602</v>
      </c>
      <c r="M14" s="18">
        <f>SUMIF(Ohj.lask.[Maakunta],Maakunt.[[#This Row],[Maakunta]],Ohj.lask.[Painotetut pisteet 2])</f>
        <v>483158.9</v>
      </c>
      <c r="N14" s="16">
        <f>SUMIF(Ohj.lask.[Maakunta],Maakunt.[[#This Row],[Maakunta]],Ohj.lask.[%-osuus 2])</f>
        <v>3.1016897288655042E-2</v>
      </c>
      <c r="O14" s="17">
        <f>SUMIF(Ohj.lask.[Maakunta],Maakunt.[[#This Row],[Maakunta]],Ohj.lask.[Jaettava € 2])</f>
        <v>11388846</v>
      </c>
      <c r="P14" s="18">
        <f>SUMIF(Ohj.lask.[Maakunta],Maakunt.[[#This Row],[Maakunta]],Ohj.lask.[Painotetut pisteet 3])</f>
        <v>7117.1999999999989</v>
      </c>
      <c r="Q14" s="16">
        <f>SUMIF(Ohj.lask.[Maakunta],Maakunt.[[#This Row],[Maakunta]],Ohj.lask.[%-osuus 3])</f>
        <v>3.576070894354369E-2</v>
      </c>
      <c r="R14" s="17">
        <f>SUMIF(Ohj.lask.[Maakunta],Maakunt.[[#This Row],[Maakunta]],Ohj.lask.[Jaettava € 3])</f>
        <v>4924009</v>
      </c>
      <c r="S14" s="18">
        <f>SUMIF(Ohj.lask.[Maakunta],Maakunt.[[#This Row],[Maakunta]],Ohj.lask.[Painotetut pisteet 4])</f>
        <v>57690.8</v>
      </c>
      <c r="T14" s="16">
        <f>SUMIF(Ohj.lask.[Maakunta],Maakunt.[[#This Row],[Maakunta]],Ohj.lask.[%-osuus 4])</f>
        <v>3.5047928242959145E-2</v>
      </c>
      <c r="U14" s="17">
        <f>SUMIF(Ohj.lask.[Maakunta],Maakunt.[[#This Row],[Maakunta]],Ohj.lask.[Jaettava € 4])</f>
        <v>402155</v>
      </c>
      <c r="V14" s="18">
        <f>SUMIF(Ohj.lask.[Maakunta],Maakunt.[[#This Row],[Maakunta]],Ohj.lask.[Painotetut pisteet 5])</f>
        <v>318169.19999999995</v>
      </c>
      <c r="W14" s="16">
        <f>SUMIF(Ohj.lask.[Maakunta],Maakunt.[[#This Row],[Maakunta]],Ohj.lask.[%-osuus 5])</f>
        <v>3.6904486952919792E-2</v>
      </c>
      <c r="X14" s="17">
        <f>SUMIF(Ohj.lask.[Maakunta],Maakunt.[[#This Row],[Maakunta]],Ohj.lask.[Jaettava € 5])</f>
        <v>1270375</v>
      </c>
      <c r="Y14" s="19">
        <f>SUMIF(Ohj.lask.[Maakunta],Maakunt.[[#This Row],[Maakunta]],Ohj.lask.[%-osuus 6])</f>
        <v>3.3322572371512815E-2</v>
      </c>
      <c r="Z14" s="17">
        <f>SUMIF(Ohj.lask.[Maakunta],Maakunt.[[#This Row],[Maakunta]],Ohj.lask.[Jaettava € 6])</f>
        <v>60321987</v>
      </c>
      <c r="AA14" s="18">
        <f>SUMIF(Ohj.lask.[Maakunta],Maakunt.[[#This Row],[Maakunta]],Ohj.lask.[Hakemus, € 1])</f>
        <v>662226</v>
      </c>
      <c r="AB14" s="17">
        <f>SUMIF(Ohj.lask.[Maakunta],Maakunt.[[#This Row],[Maakunta]],Ohj.lask.[Päätös, € 1])</f>
        <v>0</v>
      </c>
      <c r="AC14" s="18">
        <f>SUMIF(Ohj.lask.[Maakunta],Maakunt.[[#This Row],[Maakunta]],Ohj.lask.[Hakemus, € 2])</f>
        <v>0</v>
      </c>
      <c r="AD14" s="17">
        <f>SUMIF(Ohj.lask.[Maakunta],Maakunt.[[#This Row],[Maakunta]],Ohj.lask.[Päätös, € 2])</f>
        <v>0</v>
      </c>
      <c r="AE14" s="18">
        <f>SUMIF(Ohj.lask.[Maakunta],Maakunt.[[#This Row],[Maakunta]],Ohj.lask.[Hakemus, € 3])</f>
        <v>0</v>
      </c>
      <c r="AF14" s="17">
        <f>SUMIF(Ohj.lask.[Maakunta],Maakunt.[[#This Row],[Maakunta]],Ohj.lask.[Päätös, € 3])</f>
        <v>0</v>
      </c>
      <c r="AG14" s="18">
        <f>SUMIF(Ohj.lask.[Maakunta],Maakunt.[[#This Row],[Maakunta]],Ohj.lask.[Hakemus, € 4])</f>
        <v>182114</v>
      </c>
      <c r="AH14" s="17">
        <f>SUMIF(Ohj.lask.[Maakunta],Maakunt.[[#This Row],[Maakunta]],Ohj.lask.[Päätös, € 4])</f>
        <v>0</v>
      </c>
      <c r="AI14" s="18">
        <f>SUMIF(Ohj.lask.[Maakunta],Maakunt.[[#This Row],[Maakunta]],Ohj.lask.[Hakemus, € 5])</f>
        <v>225000</v>
      </c>
      <c r="AJ14" s="23">
        <f>SUMIF(Ohj.lask.[Maakunta],Maakunt.[[#This Row],[Maakunta]],Ohj.lask.[Päätös, € 5])</f>
        <v>80000</v>
      </c>
      <c r="AK14" s="18">
        <f>SUMIF(Ohj.lask.[Maakunta],Maakunt.[[#This Row],[Maakunta]],Ohj.lask.[Hakemus, € 6])</f>
        <v>2319579</v>
      </c>
      <c r="AL14" s="17">
        <f>SUMIF(Ohj.lask.[Maakunta],Maakunt.[[#This Row],[Maakunta]],Ohj.lask.[Päätös, € 6])</f>
        <v>0</v>
      </c>
      <c r="AM14" s="18">
        <f>SUMIF(Ohj.lask.[Maakunta],Maakunt.[[#This Row],[Maakunta]],Ohj.lask.[Hakemus, € 7])</f>
        <v>0</v>
      </c>
      <c r="AN14" s="23">
        <f>SUMIF(Ohj.lask.[Maakunta],Maakunt.[[#This Row],[Maakunta]],Ohj.lask.[Päätös, € 7])</f>
        <v>0</v>
      </c>
      <c r="AO14" s="17">
        <f>SUMIF(Ohj.lask.[Maakunta],Maakunt.[[#This Row],[Maakunta]],Ohj.lask.[Hakemus, € 8])</f>
        <v>37500</v>
      </c>
      <c r="AP14" s="17">
        <f>SUMIF(Ohj.lask.[Maakunta],Maakunt.[[#This Row],[Maakunta]],Ohj.lask.[Päätös, € 8])</f>
        <v>20000</v>
      </c>
      <c r="AQ14" s="18">
        <f>Maakunt.[[#This Row],[Hakemus, € 1]]+Maakunt.[[#This Row],[Hakemus, € 2]]+Maakunt.[[#This Row],[Hakemus, € 3]]+Maakunt.[[#This Row],[Hakemus, € 4]]+Maakunt.[[#This Row],[Hakemus, € 5]]+Maakunt.[[#This Row],[Hakemus, € 6]]+Maakunt.[[#This Row],[Hakemus, € 7]]+Maakunt.[[#This Row],[Hakemus, € 8]]</f>
        <v>3426419</v>
      </c>
      <c r="AR14" s="17">
        <f>Maakunt.[[#This Row],[Päätös, € 1]]+Maakunt.[[#This Row],[Päätös, € 2]]+Maakunt.[[#This Row],[Päätös, € 3]]+Maakunt.[[#This Row],[Päätös, € 4]]+Maakunt.[[#This Row],[Päätös, € 5]]+Maakunt.[[#This Row],[Päätös, € 6]]+Maakunt.[[#This Row],[Päätös, € 7]]+Maakunt.[[#This Row],[Päätös, € 8]]</f>
        <v>100000</v>
      </c>
      <c r="AS14" s="18">
        <f>SUMIF(Ohj.lask.[Maakunta],Maakunt.[[#This Row],[Maakunta]],Ohj.lask.[Suoriteperusteinen (opiskelijavuosiin perustuva) sekä harkinnanvarainen korotus, €])</f>
        <v>42436602</v>
      </c>
      <c r="AT14" s="18">
        <f>SUMIF(Ohj.lask.[Maakunta],Maakunt.[[#This Row],[Maakunta]],Ohj.lask.[Suoritusrahoitus, €])</f>
        <v>11388846</v>
      </c>
      <c r="AU14" s="18">
        <f>SUMIF(Ohj.lask.[Maakunta],Maakunt.[[#This Row],[Maakunta]],Ohj.lask.[Työllistymiseen ja jatko-opintoihin siirtymiseen perustuva sekä opiskelija-palautteisiin perustuva, €])</f>
        <v>6596539</v>
      </c>
      <c r="AV14" s="42">
        <f>SUMIF(Ohj.lask.[Maakunta],Maakunt.[[#This Row],[Maakunta]],Ohj.lask.[Perus-, suoritus- ja vaikuttavuusrahoitus yhteensä, €])</f>
        <v>60421987</v>
      </c>
      <c r="AW14" s="19">
        <f>Maakunt.[[#This Row],[Jaettava € 1]]/Maakunt.[[#This Row],[Perus-, suoritus- ja vaikuttavuusrahoitus yhteensä, €]]</f>
        <v>0.70068205469641376</v>
      </c>
      <c r="AX14" s="16">
        <f>Maakunt.[[#This Row],[Suoriteperusteinen (opiskelijavuosiin perustuva) sekä harkinnanvarainen korotus, €]]/Maakunt.[[#This Row],[Perus-, suoritus- ja vaikuttavuusrahoitus yhteensä, €]]</f>
        <v>0.70233708136741679</v>
      </c>
      <c r="AY14" s="49">
        <f>Maakunt.[[#This Row],[Suoritusrahoitus, €]]/Maakunt.[[#This Row],[Perus-, suoritus- ja vaikuttavuusrahoitus yhteensä, €]]</f>
        <v>0.18848843881946484</v>
      </c>
      <c r="AZ14" s="16">
        <f>Maakunt.[[#This Row],[Työllistymiseen ja jatko-opintoihin siirtymiseen perustuva sekä opiskelija-palautteisiin perustuva, €]]/Maakunt.[[#This Row],[Perus-, suoritus- ja vaikuttavuusrahoitus yhteensä, €]]</f>
        <v>0.10917447981311836</v>
      </c>
      <c r="BA14" s="16">
        <f>SUMIF(Ohj.lask.[Maakunta],Maakunt.[[#This Row],[Maakunta]],Ohj.lask.[Jaettava € 3])/Maakunt.[[#This Row],[Perus-, suoritus- ja vaikuttavuusrahoitus yhteensä, €]]</f>
        <v>8.1493662232590927E-2</v>
      </c>
      <c r="BB14" s="16">
        <f>SUMIF(Ohj.lask.[Maakunta],Maakunt.[[#This Row],[Maakunta]],Ohj.lask.[Jaettava € 4])/Maakunt.[[#This Row],[Perus-, suoritus- ja vaikuttavuusrahoitus yhteensä, €]]</f>
        <v>6.6557725087723445E-3</v>
      </c>
      <c r="BC14" s="43">
        <f>SUMIF(Ohj.lask.[Maakunta],Maakunt.[[#This Row],[Maakunta]],Ohj.lask.[Jaettava € 5])/Maakunt.[[#This Row],[Perus-, suoritus- ja vaikuttavuusrahoitus yhteensä, €]]</f>
        <v>2.1025045071755087E-2</v>
      </c>
      <c r="BD14" s="18">
        <f>SUMIF(Vertailu[Maakunta],Maakunt.[[#This Row],[Maakunta]],Vertailu[Rahoitus ml. hark. kor. 
2020 ilman alv, €])</f>
        <v>59328870</v>
      </c>
      <c r="BE14" s="18">
        <f>SUMIF(Vertailu[Maakunta],Maakunt.[[#This Row],[Maakunta]],Vertailu[Rahoitus ml. hark. kor. 
2021 ilman alv, €])</f>
        <v>60421987</v>
      </c>
      <c r="BF14" s="18">
        <f>SUMIF(Vertailu[Maakunta],Maakunt.[[#This Row],[Maakunta]],Vertailu[Muutos, € 2])</f>
        <v>1093117</v>
      </c>
      <c r="BG14" s="43">
        <f>IFERROR(Maakunt.[[#This Row],[Muutos, € 2]]/Maakunt.[[#This Row],[Rahoitus ml. hark. kor. 
2020 ilman alv, €]],0)</f>
        <v>1.8424706218068874E-2</v>
      </c>
    </row>
    <row r="15" spans="1:59" x14ac:dyDescent="0.2">
      <c r="A15" s="22" t="s">
        <v>227</v>
      </c>
      <c r="B15" s="22">
        <f>COUNTIF(Ohj.lask.[Maakunta],Maakunt.[[#This Row],[Maakunta]])</f>
        <v>9</v>
      </c>
      <c r="C15" s="22">
        <f>COUNTIFS(Ohj.lask.[Maakunta],Maakunt.[[#This Row],[Maakunta]],Ohj.lask.[Omistajatyyppi],"=yksityinen")</f>
        <v>6</v>
      </c>
      <c r="D15" s="22">
        <f>COUNTIFS(Ohj.lask.[Maakunta],Maakunt.[[#This Row],[Maakunta]],Ohj.lask.[Omistajatyyppi],"=kunta")</f>
        <v>1</v>
      </c>
      <c r="E15" s="22">
        <f>COUNTIFS(Ohj.lask.[Maakunta],Maakunt.[[#This Row],[Maakunta]],Ohj.lask.[Omistajatyyppi],"=kuntayhtymä")</f>
        <v>2</v>
      </c>
      <c r="F15" s="18">
        <f>SUMIF(Ohj.lask.[Maakunta],Maakunt.[[#This Row],[Maakunta]],Ohj.lask.[Järjestämisluvan opisk.vuosien vähimmäismäärä])</f>
        <v>13965</v>
      </c>
      <c r="G15" s="17">
        <f>SUMIF(Ohj.lask.[Maakunta],Maakunt.[[#This Row],[Maakunta]],Ohj.lask.[Suoritepäätöksellä jaettavat opisk.vuodet (luvan ylittävä osuus)])</f>
        <v>2284</v>
      </c>
      <c r="H15" s="17">
        <f>SUMIF(Ohj.lask.[Maakunta],Maakunt.[[#This Row],[Maakunta]],Ohj.lask.[Tavoitteelliset opiskelija-vuodet])</f>
        <v>16249</v>
      </c>
      <c r="I15" s="80">
        <f>Maakunt.[[#This Row],[Painotetut opiskelija-vuodet]]/Maakunt.[[#This Row],[Tavoitteelliset opiskelija-vuodet]]</f>
        <v>1.065407101975506</v>
      </c>
      <c r="J15" s="81">
        <f>SUMIF(Ohj.lask.[Maakunta],Maakunt.[[#This Row],[Maakunta]],Ohj.lask.[Painotetut opiskelija-vuodet])</f>
        <v>17311.8</v>
      </c>
      <c r="K15" s="16">
        <f>SUMIF(Ohj.lask.[Maakunta],Maakunt.[[#This Row],[Maakunta]],Ohj.lask.[%-osuus 1])</f>
        <v>8.4542162179056454E-2</v>
      </c>
      <c r="L15" s="17">
        <f>SUMIF(Ohj.lask.[Maakunta],Maakunt.[[#This Row],[Maakunta]],Ohj.lask.[Jaettava € 1])</f>
        <v>106478403</v>
      </c>
      <c r="M15" s="18">
        <f>SUMIF(Ohj.lask.[Maakunta],Maakunt.[[#This Row],[Maakunta]],Ohj.lask.[Painotetut pisteet 2])</f>
        <v>1407731.5</v>
      </c>
      <c r="N15" s="16">
        <f>SUMIF(Ohj.lask.[Maakunta],Maakunt.[[#This Row],[Maakunta]],Ohj.lask.[%-osuus 2])</f>
        <v>9.0370814540525465E-2</v>
      </c>
      <c r="O15" s="17">
        <f>SUMIF(Ohj.lask.[Maakunta],Maakunt.[[#This Row],[Maakunta]],Ohj.lask.[Jaettava € 2])</f>
        <v>33182536</v>
      </c>
      <c r="P15" s="18">
        <f>SUMIF(Ohj.lask.[Maakunta],Maakunt.[[#This Row],[Maakunta]],Ohj.lask.[Painotetut pisteet 3])</f>
        <v>18103.899999999998</v>
      </c>
      <c r="Q15" s="16">
        <f>SUMIF(Ohj.lask.[Maakunta],Maakunt.[[#This Row],[Maakunta]],Ohj.lask.[%-osuus 3])</f>
        <v>9.0963904153743155E-2</v>
      </c>
      <c r="R15" s="17">
        <f>SUMIF(Ohj.lask.[Maakunta],Maakunt.[[#This Row],[Maakunta]],Ohj.lask.[Jaettava € 3])</f>
        <v>12525117</v>
      </c>
      <c r="S15" s="18">
        <f>SUMIF(Ohj.lask.[Maakunta],Maakunt.[[#This Row],[Maakunta]],Ohj.lask.[Painotetut pisteet 4])</f>
        <v>174088.19999999998</v>
      </c>
      <c r="T15" s="16">
        <f>SUMIF(Ohj.lask.[Maakunta],Maakunt.[[#This Row],[Maakunta]],Ohj.lask.[%-osuus 4])</f>
        <v>0.10576089673823073</v>
      </c>
      <c r="U15" s="17">
        <f>SUMIF(Ohj.lask.[Maakunta],Maakunt.[[#This Row],[Maakunta]],Ohj.lask.[Jaettava € 4])</f>
        <v>1213546</v>
      </c>
      <c r="V15" s="18">
        <f>SUMIF(Ohj.lask.[Maakunta],Maakunt.[[#This Row],[Maakunta]],Ohj.lask.[Painotetut pisteet 5])</f>
        <v>946806.79999999993</v>
      </c>
      <c r="W15" s="16">
        <f>SUMIF(Ohj.lask.[Maakunta],Maakunt.[[#This Row],[Maakunta]],Ohj.lask.[%-osuus 5])</f>
        <v>0.10982024406364835</v>
      </c>
      <c r="X15" s="17">
        <f>SUMIF(Ohj.lask.[Maakunta],Maakunt.[[#This Row],[Maakunta]],Ohj.lask.[Jaettava € 5])</f>
        <v>3780377</v>
      </c>
      <c r="Y15" s="19">
        <f>SUMIF(Ohj.lask.[Maakunta],Maakunt.[[#This Row],[Maakunta]],Ohj.lask.[%-osuus 6])</f>
        <v>8.6828061973163534E-2</v>
      </c>
      <c r="Z15" s="17">
        <f>SUMIF(Ohj.lask.[Maakunta],Maakunt.[[#This Row],[Maakunta]],Ohj.lask.[Jaettava € 6])</f>
        <v>157179979</v>
      </c>
      <c r="AA15" s="18">
        <f>SUMIF(Ohj.lask.[Maakunta],Maakunt.[[#This Row],[Maakunta]],Ohj.lask.[Hakemus, € 1])</f>
        <v>1169000</v>
      </c>
      <c r="AB15" s="17">
        <f>SUMIF(Ohj.lask.[Maakunta],Maakunt.[[#This Row],[Maakunta]],Ohj.lask.[Päätös, € 1])</f>
        <v>0</v>
      </c>
      <c r="AC15" s="18">
        <f>SUMIF(Ohj.lask.[Maakunta],Maakunt.[[#This Row],[Maakunta]],Ohj.lask.[Hakemus, € 2])</f>
        <v>0</v>
      </c>
      <c r="AD15" s="17">
        <f>SUMIF(Ohj.lask.[Maakunta],Maakunt.[[#This Row],[Maakunta]],Ohj.lask.[Päätös, € 2])</f>
        <v>0</v>
      </c>
      <c r="AE15" s="18">
        <f>SUMIF(Ohj.lask.[Maakunta],Maakunt.[[#This Row],[Maakunta]],Ohj.lask.[Hakemus, € 3])</f>
        <v>0</v>
      </c>
      <c r="AF15" s="17">
        <f>SUMIF(Ohj.lask.[Maakunta],Maakunt.[[#This Row],[Maakunta]],Ohj.lask.[Päätös, € 3])</f>
        <v>0</v>
      </c>
      <c r="AG15" s="18">
        <f>SUMIF(Ohj.lask.[Maakunta],Maakunt.[[#This Row],[Maakunta]],Ohj.lask.[Hakemus, € 4])</f>
        <v>1340000</v>
      </c>
      <c r="AH15" s="17">
        <f>SUMIF(Ohj.lask.[Maakunta],Maakunt.[[#This Row],[Maakunta]],Ohj.lask.[Päätös, € 4])</f>
        <v>0</v>
      </c>
      <c r="AI15" s="18">
        <f>SUMIF(Ohj.lask.[Maakunta],Maakunt.[[#This Row],[Maakunta]],Ohj.lask.[Hakemus, € 5])</f>
        <v>167100</v>
      </c>
      <c r="AJ15" s="23">
        <f>SUMIF(Ohj.lask.[Maakunta],Maakunt.[[#This Row],[Maakunta]],Ohj.lask.[Päätös, € 5])</f>
        <v>210000</v>
      </c>
      <c r="AK15" s="18">
        <f>SUMIF(Ohj.lask.[Maakunta],Maakunt.[[#This Row],[Maakunta]],Ohj.lask.[Hakemus, € 6])</f>
        <v>50000</v>
      </c>
      <c r="AL15" s="17">
        <f>SUMIF(Ohj.lask.[Maakunta],Maakunt.[[#This Row],[Maakunta]],Ohj.lask.[Päätös, € 6])</f>
        <v>0</v>
      </c>
      <c r="AM15" s="18">
        <f>SUMIF(Ohj.lask.[Maakunta],Maakunt.[[#This Row],[Maakunta]],Ohj.lask.[Hakemus, € 7])</f>
        <v>441000</v>
      </c>
      <c r="AN15" s="23">
        <f>SUMIF(Ohj.lask.[Maakunta],Maakunt.[[#This Row],[Maakunta]],Ohj.lask.[Päätös, € 7])</f>
        <v>310000</v>
      </c>
      <c r="AO15" s="17">
        <f>SUMIF(Ohj.lask.[Maakunta],Maakunt.[[#This Row],[Maakunta]],Ohj.lask.[Hakemus, € 8])</f>
        <v>160000</v>
      </c>
      <c r="AP15" s="17">
        <f>SUMIF(Ohj.lask.[Maakunta],Maakunt.[[#This Row],[Maakunta]],Ohj.lask.[Päätös, € 8])</f>
        <v>83000</v>
      </c>
      <c r="AQ15" s="18">
        <f>Maakunt.[[#This Row],[Hakemus, € 1]]+Maakunt.[[#This Row],[Hakemus, € 2]]+Maakunt.[[#This Row],[Hakemus, € 3]]+Maakunt.[[#This Row],[Hakemus, € 4]]+Maakunt.[[#This Row],[Hakemus, € 5]]+Maakunt.[[#This Row],[Hakemus, € 6]]+Maakunt.[[#This Row],[Hakemus, € 7]]+Maakunt.[[#This Row],[Hakemus, € 8]]</f>
        <v>3327100</v>
      </c>
      <c r="AR15" s="17">
        <f>Maakunt.[[#This Row],[Päätös, € 1]]+Maakunt.[[#This Row],[Päätös, € 2]]+Maakunt.[[#This Row],[Päätös, € 3]]+Maakunt.[[#This Row],[Päätös, € 4]]+Maakunt.[[#This Row],[Päätös, € 5]]+Maakunt.[[#This Row],[Päätös, € 6]]+Maakunt.[[#This Row],[Päätös, € 7]]+Maakunt.[[#This Row],[Päätös, € 8]]</f>
        <v>603000</v>
      </c>
      <c r="AS15" s="18">
        <f>SUMIF(Ohj.lask.[Maakunta],Maakunt.[[#This Row],[Maakunta]],Ohj.lask.[Suoriteperusteinen (opiskelijavuosiin perustuva) sekä harkinnanvarainen korotus, €])</f>
        <v>107081403</v>
      </c>
      <c r="AT15" s="18">
        <f>SUMIF(Ohj.lask.[Maakunta],Maakunt.[[#This Row],[Maakunta]],Ohj.lask.[Suoritusrahoitus, €])</f>
        <v>33182536</v>
      </c>
      <c r="AU15" s="18">
        <f>SUMIF(Ohj.lask.[Maakunta],Maakunt.[[#This Row],[Maakunta]],Ohj.lask.[Työllistymiseen ja jatko-opintoihin siirtymiseen perustuva sekä opiskelija-palautteisiin perustuva, €])</f>
        <v>17519040</v>
      </c>
      <c r="AV15" s="42">
        <f>SUMIF(Ohj.lask.[Maakunta],Maakunt.[[#This Row],[Maakunta]],Ohj.lask.[Perus-, suoritus- ja vaikuttavuusrahoitus yhteensä, €])</f>
        <v>157782979</v>
      </c>
      <c r="AW15" s="19">
        <f>Maakunt.[[#This Row],[Jaettava € 1]]/Maakunt.[[#This Row],[Perus-, suoritus- ja vaikuttavuusrahoitus yhteensä, €]]</f>
        <v>0.67484087114364855</v>
      </c>
      <c r="AX15" s="16">
        <f>Maakunt.[[#This Row],[Suoriteperusteinen (opiskelijavuosiin perustuva) sekä harkinnanvarainen korotus, €]]/Maakunt.[[#This Row],[Perus-, suoritus- ja vaikuttavuusrahoitus yhteensä, €]]</f>
        <v>0.67866257614517467</v>
      </c>
      <c r="AY15" s="49">
        <f>Maakunt.[[#This Row],[Suoritusrahoitus, €]]/Maakunt.[[#This Row],[Perus-, suoritus- ja vaikuttavuusrahoitus yhteensä, €]]</f>
        <v>0.21030491508212681</v>
      </c>
      <c r="AZ15" s="16">
        <f>Maakunt.[[#This Row],[Työllistymiseen ja jatko-opintoihin siirtymiseen perustuva sekä opiskelija-palautteisiin perustuva, €]]/Maakunt.[[#This Row],[Perus-, suoritus- ja vaikuttavuusrahoitus yhteensä, €]]</f>
        <v>0.11103250877269848</v>
      </c>
      <c r="BA15" s="16">
        <f>SUMIF(Ohj.lask.[Maakunta],Maakunt.[[#This Row],[Maakunta]],Ohj.lask.[Jaettava € 3])/Maakunt.[[#This Row],[Perus-, suoritus- ja vaikuttavuusrahoitus yhteensä, €]]</f>
        <v>7.9381927501825156E-2</v>
      </c>
      <c r="BB15" s="16">
        <f>SUMIF(Ohj.lask.[Maakunta],Maakunt.[[#This Row],[Maakunta]],Ohj.lask.[Jaettava € 4])/Maakunt.[[#This Row],[Perus-, suoritus- ja vaikuttavuusrahoitus yhteensä, €]]</f>
        <v>7.691235187034972E-3</v>
      </c>
      <c r="BC15" s="43">
        <f>SUMIF(Ohj.lask.[Maakunta],Maakunt.[[#This Row],[Maakunta]],Ohj.lask.[Jaettava € 5])/Maakunt.[[#This Row],[Perus-, suoritus- ja vaikuttavuusrahoitus yhteensä, €]]</f>
        <v>2.3959346083838359E-2</v>
      </c>
      <c r="BD15" s="18">
        <f>SUMIF(Vertailu[Maakunta],Maakunt.[[#This Row],[Maakunta]],Vertailu[Rahoitus ml. hark. kor. 
2020 ilman alv, €])</f>
        <v>149528646</v>
      </c>
      <c r="BE15" s="18">
        <f>SUMIF(Vertailu[Maakunta],Maakunt.[[#This Row],[Maakunta]],Vertailu[Rahoitus ml. hark. kor. 
2021 ilman alv, €])</f>
        <v>157782979</v>
      </c>
      <c r="BF15" s="18">
        <f>SUMIF(Vertailu[Maakunta],Maakunt.[[#This Row],[Maakunta]],Vertailu[Muutos, € 2])</f>
        <v>8254333</v>
      </c>
      <c r="BG15" s="43">
        <f>IFERROR(Maakunt.[[#This Row],[Muutos, € 2]]/Maakunt.[[#This Row],[Rahoitus ml. hark. kor. 
2020 ilman alv, €]],0)</f>
        <v>5.5202352330536053E-2</v>
      </c>
    </row>
    <row r="16" spans="1:59" x14ac:dyDescent="0.2">
      <c r="A16" s="22" t="s">
        <v>222</v>
      </c>
      <c r="B16" s="22">
        <f>COUNTIF(Ohj.lask.[Maakunta],Maakunt.[[#This Row],[Maakunta]])</f>
        <v>6</v>
      </c>
      <c r="C16" s="22">
        <f>COUNTIFS(Ohj.lask.[Maakunta],Maakunt.[[#This Row],[Maakunta]],Ohj.lask.[Omistajatyyppi],"=yksityinen")</f>
        <v>2</v>
      </c>
      <c r="D16" s="22">
        <f>COUNTIFS(Ohj.lask.[Maakunta],Maakunt.[[#This Row],[Maakunta]],Ohj.lask.[Omistajatyyppi],"=kunta")</f>
        <v>1</v>
      </c>
      <c r="E16" s="22">
        <f>COUNTIFS(Ohj.lask.[Maakunta],Maakunt.[[#This Row],[Maakunta]],Ohj.lask.[Omistajatyyppi],"=kuntayhtymä")</f>
        <v>3</v>
      </c>
      <c r="F16" s="18">
        <f>SUMIF(Ohj.lask.[Maakunta],Maakunt.[[#This Row],[Maakunta]],Ohj.lask.[Järjestämisluvan opisk.vuosien vähimmäismäärä])</f>
        <v>5007</v>
      </c>
      <c r="G16" s="17">
        <f>SUMIF(Ohj.lask.[Maakunta],Maakunt.[[#This Row],[Maakunta]],Ohj.lask.[Suoritepäätöksellä jaettavat opisk.vuodet (luvan ylittävä osuus)])</f>
        <v>431</v>
      </c>
      <c r="H16" s="17">
        <f>SUMIF(Ohj.lask.[Maakunta],Maakunt.[[#This Row],[Maakunta]],Ohj.lask.[Tavoitteelliset opiskelija-vuodet])</f>
        <v>5438</v>
      </c>
      <c r="I16" s="80">
        <f>Maakunt.[[#This Row],[Painotetut opiskelija-vuodet]]/Maakunt.[[#This Row],[Tavoitteelliset opiskelija-vuodet]]</f>
        <v>1.1503126149319602</v>
      </c>
      <c r="J16" s="81">
        <f>SUMIF(Ohj.lask.[Maakunta],Maakunt.[[#This Row],[Maakunta]],Ohj.lask.[Painotetut opiskelija-vuodet])</f>
        <v>6255.4</v>
      </c>
      <c r="K16" s="16">
        <f>SUMIF(Ohj.lask.[Maakunta],Maakunt.[[#This Row],[Maakunta]],Ohj.lask.[%-osuus 1])</f>
        <v>3.0548241158912987E-2</v>
      </c>
      <c r="L16" s="17">
        <f>SUMIF(Ohj.lask.[Maakunta],Maakunt.[[#This Row],[Maakunta]],Ohj.lask.[Jaettava € 1])</f>
        <v>38474624</v>
      </c>
      <c r="M16" s="18">
        <f>SUMIF(Ohj.lask.[Maakunta],Maakunt.[[#This Row],[Maakunta]],Ohj.lask.[Painotetut pisteet 2])</f>
        <v>473958.1</v>
      </c>
      <c r="N16" s="16">
        <f>SUMIF(Ohj.lask.[Maakunta],Maakunt.[[#This Row],[Maakunta]],Ohj.lask.[%-osuus 2])</f>
        <v>3.0426242188286497E-2</v>
      </c>
      <c r="O16" s="17">
        <f>SUMIF(Ohj.lask.[Maakunta],Maakunt.[[#This Row],[Maakunta]],Ohj.lask.[Jaettava € 2])</f>
        <v>11171969</v>
      </c>
      <c r="P16" s="18">
        <f>SUMIF(Ohj.lask.[Maakunta],Maakunt.[[#This Row],[Maakunta]],Ohj.lask.[Painotetut pisteet 3])</f>
        <v>6467.9</v>
      </c>
      <c r="Q16" s="16">
        <f>SUMIF(Ohj.lask.[Maakunta],Maakunt.[[#This Row],[Maakunta]],Ohj.lask.[%-osuus 3])</f>
        <v>3.2498270299548451E-2</v>
      </c>
      <c r="R16" s="17">
        <f>SUMIF(Ohj.lask.[Maakunta],Maakunt.[[#This Row],[Maakunta]],Ohj.lask.[Jaettava € 3])</f>
        <v>4474792</v>
      </c>
      <c r="S16" s="18">
        <f>SUMIF(Ohj.lask.[Maakunta],Maakunt.[[#This Row],[Maakunta]],Ohj.lask.[Painotetut pisteet 4])</f>
        <v>37314.5</v>
      </c>
      <c r="T16" s="16">
        <f>SUMIF(Ohj.lask.[Maakunta],Maakunt.[[#This Row],[Maakunta]],Ohj.lask.[%-osuus 4])</f>
        <v>2.2669055003950354E-2</v>
      </c>
      <c r="U16" s="17">
        <f>SUMIF(Ohj.lask.[Maakunta],Maakunt.[[#This Row],[Maakunta]],Ohj.lask.[Jaettava € 4])</f>
        <v>260114</v>
      </c>
      <c r="V16" s="18">
        <f>SUMIF(Ohj.lask.[Maakunta],Maakunt.[[#This Row],[Maakunta]],Ohj.lask.[Painotetut pisteet 5])</f>
        <v>208515</v>
      </c>
      <c r="W16" s="16">
        <f>SUMIF(Ohj.lask.[Maakunta],Maakunt.[[#This Row],[Maakunta]],Ohj.lask.[%-osuus 5])</f>
        <v>2.418568201129484E-2</v>
      </c>
      <c r="X16" s="17">
        <f>SUMIF(Ohj.lask.[Maakunta],Maakunt.[[#This Row],[Maakunta]],Ohj.lask.[Jaettava € 5])</f>
        <v>832552</v>
      </c>
      <c r="Y16" s="19">
        <f>SUMIF(Ohj.lask.[Maakunta],Maakunt.[[#This Row],[Maakunta]],Ohj.lask.[%-osuus 6])</f>
        <v>3.0500888678814571E-2</v>
      </c>
      <c r="Z16" s="17">
        <f>SUMIF(Ohj.lask.[Maakunta],Maakunt.[[#This Row],[Maakunta]],Ohj.lask.[Jaettava € 6])</f>
        <v>55214051</v>
      </c>
      <c r="AA16" s="18">
        <f>SUMIF(Ohj.lask.[Maakunta],Maakunt.[[#This Row],[Maakunta]],Ohj.lask.[Hakemus, € 1])</f>
        <v>133000</v>
      </c>
      <c r="AB16" s="17">
        <f>SUMIF(Ohj.lask.[Maakunta],Maakunt.[[#This Row],[Maakunta]],Ohj.lask.[Päätös, € 1])</f>
        <v>0</v>
      </c>
      <c r="AC16" s="18">
        <f>SUMIF(Ohj.lask.[Maakunta],Maakunt.[[#This Row],[Maakunta]],Ohj.lask.[Hakemus, € 2])</f>
        <v>337000</v>
      </c>
      <c r="AD16" s="17">
        <f>SUMIF(Ohj.lask.[Maakunta],Maakunt.[[#This Row],[Maakunta]],Ohj.lask.[Päätös, € 2])</f>
        <v>0</v>
      </c>
      <c r="AE16" s="18">
        <f>SUMIF(Ohj.lask.[Maakunta],Maakunt.[[#This Row],[Maakunta]],Ohj.lask.[Hakemus, € 3])</f>
        <v>1015000</v>
      </c>
      <c r="AF16" s="17">
        <f>SUMIF(Ohj.lask.[Maakunta],Maakunt.[[#This Row],[Maakunta]],Ohj.lask.[Päätös, € 3])</f>
        <v>45000</v>
      </c>
      <c r="AG16" s="18">
        <f>SUMIF(Ohj.lask.[Maakunta],Maakunt.[[#This Row],[Maakunta]],Ohj.lask.[Hakemus, € 4])</f>
        <v>694000</v>
      </c>
      <c r="AH16" s="17">
        <f>SUMIF(Ohj.lask.[Maakunta],Maakunt.[[#This Row],[Maakunta]],Ohj.lask.[Päätös, € 4])</f>
        <v>0</v>
      </c>
      <c r="AI16" s="18">
        <f>SUMIF(Ohj.lask.[Maakunta],Maakunt.[[#This Row],[Maakunta]],Ohj.lask.[Hakemus, € 5])</f>
        <v>441000</v>
      </c>
      <c r="AJ16" s="23">
        <f>SUMIF(Ohj.lask.[Maakunta],Maakunt.[[#This Row],[Maakunta]],Ohj.lask.[Päätös, € 5])</f>
        <v>0</v>
      </c>
      <c r="AK16" s="18">
        <f>SUMIF(Ohj.lask.[Maakunta],Maakunt.[[#This Row],[Maakunta]],Ohj.lask.[Hakemus, € 6])</f>
        <v>0</v>
      </c>
      <c r="AL16" s="17">
        <f>SUMIF(Ohj.lask.[Maakunta],Maakunt.[[#This Row],[Maakunta]],Ohj.lask.[Päätös, € 6])</f>
        <v>0</v>
      </c>
      <c r="AM16" s="18">
        <f>SUMIF(Ohj.lask.[Maakunta],Maakunt.[[#This Row],[Maakunta]],Ohj.lask.[Hakemus, € 7])</f>
        <v>270000</v>
      </c>
      <c r="AN16" s="23">
        <f>SUMIF(Ohj.lask.[Maakunta],Maakunt.[[#This Row],[Maakunta]],Ohj.lask.[Päätös, € 7])</f>
        <v>85000</v>
      </c>
      <c r="AO16" s="17">
        <f>SUMIF(Ohj.lask.[Maakunta],Maakunt.[[#This Row],[Maakunta]],Ohj.lask.[Hakemus, € 8])</f>
        <v>50000</v>
      </c>
      <c r="AP16" s="17">
        <f>SUMIF(Ohj.lask.[Maakunta],Maakunt.[[#This Row],[Maakunta]],Ohj.lask.[Päätös, € 8])</f>
        <v>22000</v>
      </c>
      <c r="AQ16" s="18">
        <f>Maakunt.[[#This Row],[Hakemus, € 1]]+Maakunt.[[#This Row],[Hakemus, € 2]]+Maakunt.[[#This Row],[Hakemus, € 3]]+Maakunt.[[#This Row],[Hakemus, € 4]]+Maakunt.[[#This Row],[Hakemus, € 5]]+Maakunt.[[#This Row],[Hakemus, € 6]]+Maakunt.[[#This Row],[Hakemus, € 7]]+Maakunt.[[#This Row],[Hakemus, € 8]]</f>
        <v>2940000</v>
      </c>
      <c r="AR16" s="17">
        <f>Maakunt.[[#This Row],[Päätös, € 1]]+Maakunt.[[#This Row],[Päätös, € 2]]+Maakunt.[[#This Row],[Päätös, € 3]]+Maakunt.[[#This Row],[Päätös, € 4]]+Maakunt.[[#This Row],[Päätös, € 5]]+Maakunt.[[#This Row],[Päätös, € 6]]+Maakunt.[[#This Row],[Päätös, € 7]]+Maakunt.[[#This Row],[Päätös, € 8]]</f>
        <v>152000</v>
      </c>
      <c r="AS16" s="18">
        <f>SUMIF(Ohj.lask.[Maakunta],Maakunt.[[#This Row],[Maakunta]],Ohj.lask.[Suoriteperusteinen (opiskelijavuosiin perustuva) sekä harkinnanvarainen korotus, €])</f>
        <v>38626624</v>
      </c>
      <c r="AT16" s="18">
        <f>SUMIF(Ohj.lask.[Maakunta],Maakunt.[[#This Row],[Maakunta]],Ohj.lask.[Suoritusrahoitus, €])</f>
        <v>11171969</v>
      </c>
      <c r="AU16" s="18">
        <f>SUMIF(Ohj.lask.[Maakunta],Maakunt.[[#This Row],[Maakunta]],Ohj.lask.[Työllistymiseen ja jatko-opintoihin siirtymiseen perustuva sekä opiskelija-palautteisiin perustuva, €])</f>
        <v>5567458</v>
      </c>
      <c r="AV16" s="42">
        <f>SUMIF(Ohj.lask.[Maakunta],Maakunt.[[#This Row],[Maakunta]],Ohj.lask.[Perus-, suoritus- ja vaikuttavuusrahoitus yhteensä, €])</f>
        <v>55366051</v>
      </c>
      <c r="AW16" s="19">
        <f>Maakunt.[[#This Row],[Jaettava € 1]]/Maakunt.[[#This Row],[Perus-, suoritus- ja vaikuttavuusrahoitus yhteensä, €]]</f>
        <v>0.69491363940693551</v>
      </c>
      <c r="AX16" s="16">
        <f>Maakunt.[[#This Row],[Suoriteperusteinen (opiskelijavuosiin perustuva) sekä harkinnanvarainen korotus, €]]/Maakunt.[[#This Row],[Perus-, suoritus- ja vaikuttavuusrahoitus yhteensä, €]]</f>
        <v>0.69765900407092429</v>
      </c>
      <c r="AY16" s="49">
        <f>Maakunt.[[#This Row],[Suoritusrahoitus, €]]/Maakunt.[[#This Row],[Perus-, suoritus- ja vaikuttavuusrahoitus yhteensä, €]]</f>
        <v>0.20178374289327589</v>
      </c>
      <c r="AZ16" s="16">
        <f>Maakunt.[[#This Row],[Työllistymiseen ja jatko-opintoihin siirtymiseen perustuva sekä opiskelija-palautteisiin perustuva, €]]/Maakunt.[[#This Row],[Perus-, suoritus- ja vaikuttavuusrahoitus yhteensä, €]]</f>
        <v>0.10055725303579986</v>
      </c>
      <c r="BA16" s="16">
        <f>SUMIF(Ohj.lask.[Maakunta],Maakunt.[[#This Row],[Maakunta]],Ohj.lask.[Jaettava € 3])/Maakunt.[[#This Row],[Perus-, suoritus- ja vaikuttavuusrahoitus yhteensä, €]]</f>
        <v>8.0821946286181764E-2</v>
      </c>
      <c r="BB16" s="16">
        <f>SUMIF(Ohj.lask.[Maakunta],Maakunt.[[#This Row],[Maakunta]],Ohj.lask.[Jaettava € 4])/Maakunt.[[#This Row],[Perus-, suoritus- ja vaikuttavuusrahoitus yhteensä, €]]</f>
        <v>4.6980775276893056E-3</v>
      </c>
      <c r="BC16" s="43">
        <f>SUMIF(Ohj.lask.[Maakunta],Maakunt.[[#This Row],[Maakunta]],Ohj.lask.[Jaettava € 5])/Maakunt.[[#This Row],[Perus-, suoritus- ja vaikuttavuusrahoitus yhteensä, €]]</f>
        <v>1.5037229221928796E-2</v>
      </c>
      <c r="BD16" s="18">
        <f>SUMIF(Vertailu[Maakunta],Maakunt.[[#This Row],[Maakunta]],Vertailu[Rahoitus ml. hark. kor. 
2020 ilman alv, €])</f>
        <v>53311108</v>
      </c>
      <c r="BE16" s="18">
        <f>SUMIF(Vertailu[Maakunta],Maakunt.[[#This Row],[Maakunta]],Vertailu[Rahoitus ml. hark. kor. 
2021 ilman alv, €])</f>
        <v>55366051</v>
      </c>
      <c r="BF16" s="18">
        <f>SUMIF(Vertailu[Maakunta],Maakunt.[[#This Row],[Maakunta]],Vertailu[Muutos, € 2])</f>
        <v>2054943</v>
      </c>
      <c r="BG16" s="43">
        <f>IFERROR(Maakunt.[[#This Row],[Muutos, € 2]]/Maakunt.[[#This Row],[Rahoitus ml. hark. kor. 
2020 ilman alv, €]],0)</f>
        <v>3.8546244433711636E-2</v>
      </c>
    </row>
    <row r="17" spans="1:59" x14ac:dyDescent="0.2">
      <c r="A17" s="22" t="s">
        <v>295</v>
      </c>
      <c r="B17" s="22">
        <f>COUNTIF(Ohj.lask.[Maakunta],Maakunt.[[#This Row],[Maakunta]])</f>
        <v>4</v>
      </c>
      <c r="C17" s="22">
        <f>COUNTIFS(Ohj.lask.[Maakunta],Maakunt.[[#This Row],[Maakunta]],Ohj.lask.[Omistajatyyppi],"=yksityinen")</f>
        <v>2</v>
      </c>
      <c r="D17" s="22">
        <f>COUNTIFS(Ohj.lask.[Maakunta],Maakunt.[[#This Row],[Maakunta]],Ohj.lask.[Omistajatyyppi],"=kunta")</f>
        <v>1</v>
      </c>
      <c r="E17" s="22">
        <f>COUNTIFS(Ohj.lask.[Maakunta],Maakunt.[[#This Row],[Maakunta]],Ohj.lask.[Omistajatyyppi],"=kuntayhtymä")</f>
        <v>1</v>
      </c>
      <c r="F17" s="18">
        <f>SUMIF(Ohj.lask.[Maakunta],Maakunt.[[#This Row],[Maakunta]],Ohj.lask.[Järjestämisluvan opisk.vuosien vähimmäismäärä])</f>
        <v>4948</v>
      </c>
      <c r="G17" s="17">
        <f>SUMIF(Ohj.lask.[Maakunta],Maakunt.[[#This Row],[Maakunta]],Ohj.lask.[Suoritepäätöksellä jaettavat opisk.vuodet (luvan ylittävä osuus)])</f>
        <v>514</v>
      </c>
      <c r="H17" s="17">
        <f>SUMIF(Ohj.lask.[Maakunta],Maakunt.[[#This Row],[Maakunta]],Ohj.lask.[Tavoitteelliset opiskelija-vuodet])</f>
        <v>5462</v>
      </c>
      <c r="I17" s="80">
        <f>Maakunt.[[#This Row],[Painotetut opiskelija-vuodet]]/Maakunt.[[#This Row],[Tavoitteelliset opiskelija-vuodet]]</f>
        <v>1.1136396924203589</v>
      </c>
      <c r="J17" s="81">
        <f>SUMIF(Ohj.lask.[Maakunta],Maakunt.[[#This Row],[Maakunta]],Ohj.lask.[Painotetut opiskelija-vuodet])</f>
        <v>6082.7000000000007</v>
      </c>
      <c r="K17" s="16">
        <f>SUMIF(Ohj.lask.[Maakunta],Maakunt.[[#This Row],[Maakunta]],Ohj.lask.[%-osuus 1])</f>
        <v>2.9704860839805617E-2</v>
      </c>
      <c r="L17" s="17">
        <f>SUMIF(Ohj.lask.[Maakunta],Maakunt.[[#This Row],[Maakunta]],Ohj.lask.[Jaettava € 1])</f>
        <v>37412411</v>
      </c>
      <c r="M17" s="18">
        <f>SUMIF(Ohj.lask.[Maakunta],Maakunt.[[#This Row],[Maakunta]],Ohj.lask.[Painotetut pisteet 2])</f>
        <v>466786.1</v>
      </c>
      <c r="N17" s="16">
        <f>SUMIF(Ohj.lask.[Maakunta],Maakunt.[[#This Row],[Maakunta]],Ohj.lask.[%-osuus 2])</f>
        <v>2.9965828052576204E-2</v>
      </c>
      <c r="O17" s="17">
        <f>SUMIF(Ohj.lask.[Maakunta],Maakunt.[[#This Row],[Maakunta]],Ohj.lask.[Jaettava € 2])</f>
        <v>11002914</v>
      </c>
      <c r="P17" s="18">
        <f>SUMIF(Ohj.lask.[Maakunta],Maakunt.[[#This Row],[Maakunta]],Ohj.lask.[Painotetut pisteet 3])</f>
        <v>6279.3</v>
      </c>
      <c r="Q17" s="16">
        <f>SUMIF(Ohj.lask.[Maakunta],Maakunt.[[#This Row],[Maakunta]],Ohj.lask.[%-osuus 3])</f>
        <v>3.1550640654919623E-2</v>
      </c>
      <c r="R17" s="17">
        <f>SUMIF(Ohj.lask.[Maakunta],Maakunt.[[#This Row],[Maakunta]],Ohj.lask.[Jaettava € 3])</f>
        <v>4344310</v>
      </c>
      <c r="S17" s="18">
        <f>SUMIF(Ohj.lask.[Maakunta],Maakunt.[[#This Row],[Maakunta]],Ohj.lask.[Painotetut pisteet 4])</f>
        <v>35084.199999999997</v>
      </c>
      <c r="T17" s="16">
        <f>SUMIF(Ohj.lask.[Maakunta],Maakunt.[[#This Row],[Maakunta]],Ohj.lask.[%-osuus 4])</f>
        <v>2.1314118092687691E-2</v>
      </c>
      <c r="U17" s="17">
        <f>SUMIF(Ohj.lask.[Maakunta],Maakunt.[[#This Row],[Maakunta]],Ohj.lask.[Jaettava € 4])</f>
        <v>244567</v>
      </c>
      <c r="V17" s="18">
        <f>SUMIF(Ohj.lask.[Maakunta],Maakunt.[[#This Row],[Maakunta]],Ohj.lask.[Painotetut pisteet 5])</f>
        <v>185962.8</v>
      </c>
      <c r="W17" s="16">
        <f>SUMIF(Ohj.lask.[Maakunta],Maakunt.[[#This Row],[Maakunta]],Ohj.lask.[%-osuus 5])</f>
        <v>2.156984939563111E-2</v>
      </c>
      <c r="X17" s="17">
        <f>SUMIF(Ohj.lask.[Maakunta],Maakunt.[[#This Row],[Maakunta]],Ohj.lask.[Jaettava € 5])</f>
        <v>742506</v>
      </c>
      <c r="Y17" s="19">
        <f>SUMIF(Ohj.lask.[Maakunta],Maakunt.[[#This Row],[Maakunta]],Ohj.lask.[%-osuus 6])</f>
        <v>2.9690311213729861E-2</v>
      </c>
      <c r="Z17" s="17">
        <f>SUMIF(Ohj.lask.[Maakunta],Maakunt.[[#This Row],[Maakunta]],Ohj.lask.[Jaettava € 6])</f>
        <v>53746708</v>
      </c>
      <c r="AA17" s="18">
        <f>SUMIF(Ohj.lask.[Maakunta],Maakunt.[[#This Row],[Maakunta]],Ohj.lask.[Hakemus, € 1])</f>
        <v>0</v>
      </c>
      <c r="AB17" s="17">
        <f>SUMIF(Ohj.lask.[Maakunta],Maakunt.[[#This Row],[Maakunta]],Ohj.lask.[Päätös, € 1])</f>
        <v>0</v>
      </c>
      <c r="AC17" s="18">
        <f>SUMIF(Ohj.lask.[Maakunta],Maakunt.[[#This Row],[Maakunta]],Ohj.lask.[Hakemus, € 2])</f>
        <v>0</v>
      </c>
      <c r="AD17" s="17">
        <f>SUMIF(Ohj.lask.[Maakunta],Maakunt.[[#This Row],[Maakunta]],Ohj.lask.[Päätös, € 2])</f>
        <v>0</v>
      </c>
      <c r="AE17" s="18">
        <f>SUMIF(Ohj.lask.[Maakunta],Maakunt.[[#This Row],[Maakunta]],Ohj.lask.[Hakemus, € 3])</f>
        <v>170000</v>
      </c>
      <c r="AF17" s="17">
        <f>SUMIF(Ohj.lask.[Maakunta],Maakunt.[[#This Row],[Maakunta]],Ohj.lask.[Päätös, € 3])</f>
        <v>0</v>
      </c>
      <c r="AG17" s="18">
        <f>SUMIF(Ohj.lask.[Maakunta],Maakunt.[[#This Row],[Maakunta]],Ohj.lask.[Hakemus, € 4])</f>
        <v>600000</v>
      </c>
      <c r="AH17" s="17">
        <f>SUMIF(Ohj.lask.[Maakunta],Maakunt.[[#This Row],[Maakunta]],Ohj.lask.[Päätös, € 4])</f>
        <v>0</v>
      </c>
      <c r="AI17" s="18">
        <f>SUMIF(Ohj.lask.[Maakunta],Maakunt.[[#This Row],[Maakunta]],Ohj.lask.[Hakemus, € 5])</f>
        <v>0</v>
      </c>
      <c r="AJ17" s="23">
        <f>SUMIF(Ohj.lask.[Maakunta],Maakunt.[[#This Row],[Maakunta]],Ohj.lask.[Päätös, € 5])</f>
        <v>0</v>
      </c>
      <c r="AK17" s="18">
        <f>SUMIF(Ohj.lask.[Maakunta],Maakunt.[[#This Row],[Maakunta]],Ohj.lask.[Hakemus, € 6])</f>
        <v>20000</v>
      </c>
      <c r="AL17" s="17">
        <f>SUMIF(Ohj.lask.[Maakunta],Maakunt.[[#This Row],[Maakunta]],Ohj.lask.[Päätös, € 6])</f>
        <v>0</v>
      </c>
      <c r="AM17" s="18">
        <f>SUMIF(Ohj.lask.[Maakunta],Maakunt.[[#This Row],[Maakunta]],Ohj.lask.[Hakemus, € 7])</f>
        <v>220000</v>
      </c>
      <c r="AN17" s="23">
        <f>SUMIF(Ohj.lask.[Maakunta],Maakunt.[[#This Row],[Maakunta]],Ohj.lask.[Päätös, € 7])</f>
        <v>120000</v>
      </c>
      <c r="AO17" s="17">
        <f>SUMIF(Ohj.lask.[Maakunta],Maakunt.[[#This Row],[Maakunta]],Ohj.lask.[Hakemus, € 8])</f>
        <v>0</v>
      </c>
      <c r="AP17" s="17">
        <f>SUMIF(Ohj.lask.[Maakunta],Maakunt.[[#This Row],[Maakunta]],Ohj.lask.[Päätös, € 8])</f>
        <v>0</v>
      </c>
      <c r="AQ17" s="18">
        <f>Maakunt.[[#This Row],[Hakemus, € 1]]+Maakunt.[[#This Row],[Hakemus, € 2]]+Maakunt.[[#This Row],[Hakemus, € 3]]+Maakunt.[[#This Row],[Hakemus, € 4]]+Maakunt.[[#This Row],[Hakemus, € 5]]+Maakunt.[[#This Row],[Hakemus, € 6]]+Maakunt.[[#This Row],[Hakemus, € 7]]+Maakunt.[[#This Row],[Hakemus, € 8]]</f>
        <v>1010000</v>
      </c>
      <c r="AR17" s="17">
        <f>Maakunt.[[#This Row],[Päätös, € 1]]+Maakunt.[[#This Row],[Päätös, € 2]]+Maakunt.[[#This Row],[Päätös, € 3]]+Maakunt.[[#This Row],[Päätös, € 4]]+Maakunt.[[#This Row],[Päätös, € 5]]+Maakunt.[[#This Row],[Päätös, € 6]]+Maakunt.[[#This Row],[Päätös, € 7]]+Maakunt.[[#This Row],[Päätös, € 8]]</f>
        <v>120000</v>
      </c>
      <c r="AS17" s="18">
        <f>SUMIF(Ohj.lask.[Maakunta],Maakunt.[[#This Row],[Maakunta]],Ohj.lask.[Suoriteperusteinen (opiskelijavuosiin perustuva) sekä harkinnanvarainen korotus, €])</f>
        <v>37532411</v>
      </c>
      <c r="AT17" s="18">
        <f>SUMIF(Ohj.lask.[Maakunta],Maakunt.[[#This Row],[Maakunta]],Ohj.lask.[Suoritusrahoitus, €])</f>
        <v>11002914</v>
      </c>
      <c r="AU17" s="18">
        <f>SUMIF(Ohj.lask.[Maakunta],Maakunt.[[#This Row],[Maakunta]],Ohj.lask.[Työllistymiseen ja jatko-opintoihin siirtymiseen perustuva sekä opiskelija-palautteisiin perustuva, €])</f>
        <v>5331383</v>
      </c>
      <c r="AV17" s="42">
        <f>SUMIF(Ohj.lask.[Maakunta],Maakunt.[[#This Row],[Maakunta]],Ohj.lask.[Perus-, suoritus- ja vaikuttavuusrahoitus yhteensä, €])</f>
        <v>53866708</v>
      </c>
      <c r="AW17" s="19">
        <f>Maakunt.[[#This Row],[Jaettava € 1]]/Maakunt.[[#This Row],[Perus-, suoritus- ja vaikuttavuusrahoitus yhteensä, €]]</f>
        <v>0.69453679998413864</v>
      </c>
      <c r="AX17" s="16">
        <f>Maakunt.[[#This Row],[Suoriteperusteinen (opiskelijavuosiin perustuva) sekä harkinnanvarainen korotus, €]]/Maakunt.[[#This Row],[Perus-, suoritus- ja vaikuttavuusrahoitus yhteensä, €]]</f>
        <v>0.69676452104702591</v>
      </c>
      <c r="AY17" s="49">
        <f>Maakunt.[[#This Row],[Suoritusrahoitus, €]]/Maakunt.[[#This Row],[Perus-, suoritus- ja vaikuttavuusrahoitus yhteensä, €]]</f>
        <v>0.20426186059114657</v>
      </c>
      <c r="AZ17" s="16">
        <f>Maakunt.[[#This Row],[Työllistymiseen ja jatko-opintoihin siirtymiseen perustuva sekä opiskelija-palautteisiin perustuva, €]]/Maakunt.[[#This Row],[Perus-, suoritus- ja vaikuttavuusrahoitus yhteensä, €]]</f>
        <v>9.8973618361827498E-2</v>
      </c>
      <c r="BA17" s="16">
        <f>SUMIF(Ohj.lask.[Maakunta],Maakunt.[[#This Row],[Maakunta]],Ohj.lask.[Jaettava € 3])/Maakunt.[[#This Row],[Perus-, suoritus- ja vaikuttavuusrahoitus yhteensä, €]]</f>
        <v>8.0649257422599499E-2</v>
      </c>
      <c r="BB17" s="16">
        <f>SUMIF(Ohj.lask.[Maakunta],Maakunt.[[#This Row],[Maakunta]],Ohj.lask.[Jaettava € 4])/Maakunt.[[#This Row],[Perus-, suoritus- ja vaikuttavuusrahoitus yhteensä, €]]</f>
        <v>4.5402254765596591E-3</v>
      </c>
      <c r="BC17" s="43">
        <f>SUMIF(Ohj.lask.[Maakunta],Maakunt.[[#This Row],[Maakunta]],Ohj.lask.[Jaettava € 5])/Maakunt.[[#This Row],[Perus-, suoritus- ja vaikuttavuusrahoitus yhteensä, €]]</f>
        <v>1.3784135462668334E-2</v>
      </c>
      <c r="BD17" s="18">
        <f>SUMIF(Vertailu[Maakunta],Maakunt.[[#This Row],[Maakunta]],Vertailu[Rahoitus ml. hark. kor. 
2020 ilman alv, €])</f>
        <v>53005005</v>
      </c>
      <c r="BE17" s="18">
        <f>SUMIF(Vertailu[Maakunta],Maakunt.[[#This Row],[Maakunta]],Vertailu[Rahoitus ml. hark. kor. 
2021 ilman alv, €])</f>
        <v>53866708</v>
      </c>
      <c r="BF17" s="18">
        <f>SUMIF(Vertailu[Maakunta],Maakunt.[[#This Row],[Maakunta]],Vertailu[Muutos, € 2])</f>
        <v>861703</v>
      </c>
      <c r="BG17" s="43">
        <f>IFERROR(Maakunt.[[#This Row],[Muutos, € 2]]/Maakunt.[[#This Row],[Rahoitus ml. hark. kor. 
2020 ilman alv, €]],0)</f>
        <v>1.6257011955757763E-2</v>
      </c>
    </row>
    <row r="18" spans="1:59" x14ac:dyDescent="0.2">
      <c r="A18" s="22" t="s">
        <v>224</v>
      </c>
      <c r="B18" s="22">
        <f>COUNTIF(Ohj.lask.[Maakunta],Maakunt.[[#This Row],[Maakunta]])</f>
        <v>11</v>
      </c>
      <c r="C18" s="22">
        <f>COUNTIFS(Ohj.lask.[Maakunta],Maakunt.[[#This Row],[Maakunta]],Ohj.lask.[Omistajatyyppi],"=yksityinen")</f>
        <v>7</v>
      </c>
      <c r="D18" s="22">
        <f>COUNTIFS(Ohj.lask.[Maakunta],Maakunt.[[#This Row],[Maakunta]],Ohj.lask.[Omistajatyyppi],"=kunta")</f>
        <v>1</v>
      </c>
      <c r="E18" s="22">
        <f>COUNTIFS(Ohj.lask.[Maakunta],Maakunt.[[#This Row],[Maakunta]],Ohj.lask.[Omistajatyyppi],"=kuntayhtymä")</f>
        <v>3</v>
      </c>
      <c r="F18" s="18">
        <f>SUMIF(Ohj.lask.[Maakunta],Maakunt.[[#This Row],[Maakunta]],Ohj.lask.[Järjestämisluvan opisk.vuosien vähimmäismäärä])</f>
        <v>10967</v>
      </c>
      <c r="G18" s="17">
        <f>SUMIF(Ohj.lask.[Maakunta],Maakunt.[[#This Row],[Maakunta]],Ohj.lask.[Suoritepäätöksellä jaettavat opisk.vuodet (luvan ylittävä osuus)])</f>
        <v>1043</v>
      </c>
      <c r="H18" s="17">
        <f>SUMIF(Ohj.lask.[Maakunta],Maakunt.[[#This Row],[Maakunta]],Ohj.lask.[Tavoitteelliset opiskelija-vuodet])</f>
        <v>12010</v>
      </c>
      <c r="I18" s="80">
        <f>Maakunt.[[#This Row],[Painotetut opiskelija-vuodet]]/Maakunt.[[#This Row],[Tavoitteelliset opiskelija-vuodet]]</f>
        <v>1.0951373855120734</v>
      </c>
      <c r="J18" s="81">
        <f>SUMIF(Ohj.lask.[Maakunta],Maakunt.[[#This Row],[Maakunta]],Ohj.lask.[Painotetut opiskelija-vuodet])</f>
        <v>13152.6</v>
      </c>
      <c r="K18" s="16">
        <f>SUMIF(Ohj.lask.[Maakunta],Maakunt.[[#This Row],[Maakunta]],Ohj.lask.[%-osuus 1])</f>
        <v>6.4230712131393503E-2</v>
      </c>
      <c r="L18" s="17">
        <f>SUMIF(Ohj.lask.[Maakunta],Maakunt.[[#This Row],[Maakunta]],Ohj.lask.[Jaettava € 1])</f>
        <v>80896719</v>
      </c>
      <c r="M18" s="18">
        <f>SUMIF(Ohj.lask.[Maakunta],Maakunt.[[#This Row],[Maakunta]],Ohj.lask.[Painotetut pisteet 2])</f>
        <v>1003130.9000000001</v>
      </c>
      <c r="N18" s="16">
        <f>SUMIF(Ohj.lask.[Maakunta],Maakunt.[[#This Row],[Maakunta]],Ohj.lask.[%-osuus 2])</f>
        <v>6.4397050519769156E-2</v>
      </c>
      <c r="O18" s="17">
        <f>SUMIF(Ohj.lask.[Maakunta],Maakunt.[[#This Row],[Maakunta]],Ohj.lask.[Jaettava € 2])</f>
        <v>23645438</v>
      </c>
      <c r="P18" s="18">
        <f>SUMIF(Ohj.lask.[Maakunta],Maakunt.[[#This Row],[Maakunta]],Ohj.lask.[Painotetut pisteet 3])</f>
        <v>14379.2</v>
      </c>
      <c r="Q18" s="16">
        <f>SUMIF(Ohj.lask.[Maakunta],Maakunt.[[#This Row],[Maakunta]],Ohj.lask.[%-osuus 3])</f>
        <v>7.2248972354437627E-2</v>
      </c>
      <c r="R18" s="17">
        <f>SUMIF(Ohj.lask.[Maakunta],Maakunt.[[#This Row],[Maakunta]],Ohj.lask.[Jaettava € 3])</f>
        <v>9948197</v>
      </c>
      <c r="S18" s="18">
        <f>SUMIF(Ohj.lask.[Maakunta],Maakunt.[[#This Row],[Maakunta]],Ohj.lask.[Painotetut pisteet 4])</f>
        <v>121942.29999999999</v>
      </c>
      <c r="T18" s="16">
        <f>SUMIF(Ohj.lask.[Maakunta],Maakunt.[[#This Row],[Maakunta]],Ohj.lask.[%-osuus 4])</f>
        <v>7.4081568988147106E-2</v>
      </c>
      <c r="U18" s="17">
        <f>SUMIF(Ohj.lask.[Maakunta],Maakunt.[[#This Row],[Maakunta]],Ohj.lask.[Jaettava € 4])</f>
        <v>850044</v>
      </c>
      <c r="V18" s="18">
        <f>SUMIF(Ohj.lask.[Maakunta],Maakunt.[[#This Row],[Maakunta]],Ohj.lask.[Painotetut pisteet 5])</f>
        <v>665463.69999999995</v>
      </c>
      <c r="W18" s="16">
        <f>SUMIF(Ohj.lask.[Maakunta],Maakunt.[[#This Row],[Maakunta]],Ohj.lask.[%-osuus 5])</f>
        <v>7.7187221246719465E-2</v>
      </c>
      <c r="X18" s="17">
        <f>SUMIF(Ohj.lask.[Maakunta],Maakunt.[[#This Row],[Maakunta]],Ohj.lask.[Jaettava € 5])</f>
        <v>2657040</v>
      </c>
      <c r="Y18" s="19">
        <f>SUMIF(Ohj.lask.[Maakunta],Maakunt.[[#This Row],[Maakunta]],Ohj.lask.[%-osuus 6])</f>
        <v>6.5183167248918636E-2</v>
      </c>
      <c r="Z18" s="17">
        <f>SUMIF(Ohj.lask.[Maakunta],Maakunt.[[#This Row],[Maakunta]],Ohj.lask.[Jaettava € 6])</f>
        <v>117997438</v>
      </c>
      <c r="AA18" s="18">
        <f>SUMIF(Ohj.lask.[Maakunta],Maakunt.[[#This Row],[Maakunta]],Ohj.lask.[Hakemus, € 1])</f>
        <v>400000</v>
      </c>
      <c r="AB18" s="17">
        <f>SUMIF(Ohj.lask.[Maakunta],Maakunt.[[#This Row],[Maakunta]],Ohj.lask.[Päätös, € 1])</f>
        <v>0</v>
      </c>
      <c r="AC18" s="18">
        <f>SUMIF(Ohj.lask.[Maakunta],Maakunt.[[#This Row],[Maakunta]],Ohj.lask.[Hakemus, € 2])</f>
        <v>0</v>
      </c>
      <c r="AD18" s="17">
        <f>SUMIF(Ohj.lask.[Maakunta],Maakunt.[[#This Row],[Maakunta]],Ohj.lask.[Päätös, € 2])</f>
        <v>0</v>
      </c>
      <c r="AE18" s="18">
        <f>SUMIF(Ohj.lask.[Maakunta],Maakunt.[[#This Row],[Maakunta]],Ohj.lask.[Hakemus, € 3])</f>
        <v>890000</v>
      </c>
      <c r="AF18" s="17">
        <f>SUMIF(Ohj.lask.[Maakunta],Maakunt.[[#This Row],[Maakunta]],Ohj.lask.[Päätös, € 3])</f>
        <v>0</v>
      </c>
      <c r="AG18" s="18">
        <f>SUMIF(Ohj.lask.[Maakunta],Maakunt.[[#This Row],[Maakunta]],Ohj.lask.[Hakemus, € 4])</f>
        <v>274350</v>
      </c>
      <c r="AH18" s="17">
        <f>SUMIF(Ohj.lask.[Maakunta],Maakunt.[[#This Row],[Maakunta]],Ohj.lask.[Päätös, € 4])</f>
        <v>0</v>
      </c>
      <c r="AI18" s="18">
        <f>SUMIF(Ohj.lask.[Maakunta],Maakunt.[[#This Row],[Maakunta]],Ohj.lask.[Hakemus, € 5])</f>
        <v>0</v>
      </c>
      <c r="AJ18" s="23">
        <f>SUMIF(Ohj.lask.[Maakunta],Maakunt.[[#This Row],[Maakunta]],Ohj.lask.[Päätös, € 5])</f>
        <v>0</v>
      </c>
      <c r="AK18" s="18">
        <f>SUMIF(Ohj.lask.[Maakunta],Maakunt.[[#This Row],[Maakunta]],Ohj.lask.[Hakemus, € 6])</f>
        <v>270000</v>
      </c>
      <c r="AL18" s="17">
        <f>SUMIF(Ohj.lask.[Maakunta],Maakunt.[[#This Row],[Maakunta]],Ohj.lask.[Päätös, € 6])</f>
        <v>0</v>
      </c>
      <c r="AM18" s="18">
        <f>SUMIF(Ohj.lask.[Maakunta],Maakunt.[[#This Row],[Maakunta]],Ohj.lask.[Hakemus, € 7])</f>
        <v>595000</v>
      </c>
      <c r="AN18" s="23">
        <f>SUMIF(Ohj.lask.[Maakunta],Maakunt.[[#This Row],[Maakunta]],Ohj.lask.[Päätös, € 7])</f>
        <v>380000</v>
      </c>
      <c r="AO18" s="17">
        <f>SUMIF(Ohj.lask.[Maakunta],Maakunt.[[#This Row],[Maakunta]],Ohj.lask.[Hakemus, € 8])</f>
        <v>80000</v>
      </c>
      <c r="AP18" s="17">
        <f>SUMIF(Ohj.lask.[Maakunta],Maakunt.[[#This Row],[Maakunta]],Ohj.lask.[Päätös, € 8])</f>
        <v>35000</v>
      </c>
      <c r="AQ18" s="18">
        <f>Maakunt.[[#This Row],[Hakemus, € 1]]+Maakunt.[[#This Row],[Hakemus, € 2]]+Maakunt.[[#This Row],[Hakemus, € 3]]+Maakunt.[[#This Row],[Hakemus, € 4]]+Maakunt.[[#This Row],[Hakemus, € 5]]+Maakunt.[[#This Row],[Hakemus, € 6]]+Maakunt.[[#This Row],[Hakemus, € 7]]+Maakunt.[[#This Row],[Hakemus, € 8]]</f>
        <v>2509350</v>
      </c>
      <c r="AR18" s="17">
        <f>Maakunt.[[#This Row],[Päätös, € 1]]+Maakunt.[[#This Row],[Päätös, € 2]]+Maakunt.[[#This Row],[Päätös, € 3]]+Maakunt.[[#This Row],[Päätös, € 4]]+Maakunt.[[#This Row],[Päätös, € 5]]+Maakunt.[[#This Row],[Päätös, € 6]]+Maakunt.[[#This Row],[Päätös, € 7]]+Maakunt.[[#This Row],[Päätös, € 8]]</f>
        <v>415000</v>
      </c>
      <c r="AS18" s="18">
        <f>SUMIF(Ohj.lask.[Maakunta],Maakunt.[[#This Row],[Maakunta]],Ohj.lask.[Suoriteperusteinen (opiskelijavuosiin perustuva) sekä harkinnanvarainen korotus, €])</f>
        <v>81311719</v>
      </c>
      <c r="AT18" s="18">
        <f>SUMIF(Ohj.lask.[Maakunta],Maakunt.[[#This Row],[Maakunta]],Ohj.lask.[Suoritusrahoitus, €])</f>
        <v>23645438</v>
      </c>
      <c r="AU18" s="18">
        <f>SUMIF(Ohj.lask.[Maakunta],Maakunt.[[#This Row],[Maakunta]],Ohj.lask.[Työllistymiseen ja jatko-opintoihin siirtymiseen perustuva sekä opiskelija-palautteisiin perustuva, €])</f>
        <v>13455281</v>
      </c>
      <c r="AV18" s="42">
        <f>SUMIF(Ohj.lask.[Maakunta],Maakunt.[[#This Row],[Maakunta]],Ohj.lask.[Perus-, suoritus- ja vaikuttavuusrahoitus yhteensä, €])</f>
        <v>118412438</v>
      </c>
      <c r="AW18" s="19">
        <f>Maakunt.[[#This Row],[Jaettava € 1]]/Maakunt.[[#This Row],[Perus-, suoritus- ja vaikuttavuusrahoitus yhteensä, €]]</f>
        <v>0.68317754761539495</v>
      </c>
      <c r="AX18" s="16">
        <f>Maakunt.[[#This Row],[Suoriteperusteinen (opiskelijavuosiin perustuva) sekä harkinnanvarainen korotus, €]]/Maakunt.[[#This Row],[Perus-, suoritus- ja vaikuttavuusrahoitus yhteensä, €]]</f>
        <v>0.68668224701192282</v>
      </c>
      <c r="AY18" s="49">
        <f>Maakunt.[[#This Row],[Suoritusrahoitus, €]]/Maakunt.[[#This Row],[Perus-, suoritus- ja vaikuttavuusrahoitus yhteensä, €]]</f>
        <v>0.19968711394997204</v>
      </c>
      <c r="AZ18" s="16">
        <f>Maakunt.[[#This Row],[Työllistymiseen ja jatko-opintoihin siirtymiseen perustuva sekä opiskelija-palautteisiin perustuva, €]]/Maakunt.[[#This Row],[Perus-, suoritus- ja vaikuttavuusrahoitus yhteensä, €]]</f>
        <v>0.11363063903810511</v>
      </c>
      <c r="BA18" s="16">
        <f>SUMIF(Ohj.lask.[Maakunta],Maakunt.[[#This Row],[Maakunta]],Ohj.lask.[Jaettava € 3])/Maakunt.[[#This Row],[Perus-, suoritus- ja vaikuttavuusrahoitus yhteensä, €]]</f>
        <v>8.4013108487809365E-2</v>
      </c>
      <c r="BB18" s="16">
        <f>SUMIF(Ohj.lask.[Maakunta],Maakunt.[[#This Row],[Maakunta]],Ohj.lask.[Jaettava € 4])/Maakunt.[[#This Row],[Perus-, suoritus- ja vaikuttavuusrahoitus yhteensä, €]]</f>
        <v>7.1786715513787493E-3</v>
      </c>
      <c r="BC18" s="43">
        <f>SUMIF(Ohj.lask.[Maakunta],Maakunt.[[#This Row],[Maakunta]],Ohj.lask.[Jaettava € 5])/Maakunt.[[#This Row],[Perus-, suoritus- ja vaikuttavuusrahoitus yhteensä, €]]</f>
        <v>2.243885899891699E-2</v>
      </c>
      <c r="BD18" s="18">
        <f>SUMIF(Vertailu[Maakunta],Maakunt.[[#This Row],[Maakunta]],Vertailu[Rahoitus ml. hark. kor. 
2020 ilman alv, €])</f>
        <v>116496179</v>
      </c>
      <c r="BE18" s="18">
        <f>SUMIF(Vertailu[Maakunta],Maakunt.[[#This Row],[Maakunta]],Vertailu[Rahoitus ml. hark. kor. 
2021 ilman alv, €])</f>
        <v>118412438</v>
      </c>
      <c r="BF18" s="18">
        <f>SUMIF(Vertailu[Maakunta],Maakunt.[[#This Row],[Maakunta]],Vertailu[Muutos, € 2])</f>
        <v>1916259</v>
      </c>
      <c r="BG18" s="43">
        <f>IFERROR(Maakunt.[[#This Row],[Muutos, € 2]]/Maakunt.[[#This Row],[Rahoitus ml. hark. kor. 
2020 ilman alv, €]],0)</f>
        <v>1.6449114610016524E-2</v>
      </c>
    </row>
    <row r="19" spans="1:59" x14ac:dyDescent="0.2">
      <c r="A19" s="22" t="s">
        <v>220</v>
      </c>
      <c r="B19" s="22">
        <f>COUNTIF(Ohj.lask.[Maakunta],Maakunt.[[#This Row],[Maakunta]])</f>
        <v>8</v>
      </c>
      <c r="C19" s="22">
        <f>COUNTIFS(Ohj.lask.[Maakunta],Maakunt.[[#This Row],[Maakunta]],Ohj.lask.[Omistajatyyppi],"=yksityinen")</f>
        <v>6</v>
      </c>
      <c r="D19" s="22">
        <f>COUNTIFS(Ohj.lask.[Maakunta],Maakunt.[[#This Row],[Maakunta]],Ohj.lask.[Omistajatyyppi],"=kunta")</f>
        <v>0</v>
      </c>
      <c r="E19" s="22">
        <f>COUNTIFS(Ohj.lask.[Maakunta],Maakunt.[[#This Row],[Maakunta]],Ohj.lask.[Omistajatyyppi],"=kuntayhtymä")</f>
        <v>2</v>
      </c>
      <c r="F19" s="18">
        <f>SUMIF(Ohj.lask.[Maakunta],Maakunt.[[#This Row],[Maakunta]],Ohj.lask.[Järjestämisluvan opisk.vuosien vähimmäismäärä])</f>
        <v>7376</v>
      </c>
      <c r="G19" s="17">
        <f>SUMIF(Ohj.lask.[Maakunta],Maakunt.[[#This Row],[Maakunta]],Ohj.lask.[Suoritepäätöksellä jaettavat opisk.vuodet (luvan ylittävä osuus)])</f>
        <v>489</v>
      </c>
      <c r="H19" s="17">
        <f>SUMIF(Ohj.lask.[Maakunta],Maakunt.[[#This Row],[Maakunta]],Ohj.lask.[Tavoitteelliset opiskelija-vuodet])</f>
        <v>7865</v>
      </c>
      <c r="I19" s="80">
        <f>Maakunt.[[#This Row],[Painotetut opiskelija-vuodet]]/Maakunt.[[#This Row],[Tavoitteelliset opiskelija-vuodet]]</f>
        <v>1.0926001271455819</v>
      </c>
      <c r="J19" s="81">
        <f>SUMIF(Ohj.lask.[Maakunta],Maakunt.[[#This Row],[Maakunta]],Ohj.lask.[Painotetut opiskelija-vuodet])</f>
        <v>8593.3000000000011</v>
      </c>
      <c r="K19" s="16">
        <f>SUMIF(Ohj.lask.[Maakunta],Maakunt.[[#This Row],[Maakunta]],Ohj.lask.[%-osuus 1])</f>
        <v>4.1965374036973965E-2</v>
      </c>
      <c r="L19" s="17">
        <f>SUMIF(Ohj.lask.[Maakunta],Maakunt.[[#This Row],[Maakunta]],Ohj.lask.[Jaettava € 1])</f>
        <v>52854173</v>
      </c>
      <c r="M19" s="18">
        <f>SUMIF(Ohj.lask.[Maakunta],Maakunt.[[#This Row],[Maakunta]],Ohj.lask.[Painotetut pisteet 2])</f>
        <v>682192.1</v>
      </c>
      <c r="N19" s="16">
        <f>SUMIF(Ohj.lask.[Maakunta],Maakunt.[[#This Row],[Maakunta]],Ohj.lask.[%-osuus 2])</f>
        <v>4.3794044354418166E-2</v>
      </c>
      <c r="O19" s="17">
        <f>SUMIF(Ohj.lask.[Maakunta],Maakunt.[[#This Row],[Maakunta]],Ohj.lask.[Jaettava € 2])</f>
        <v>16080383</v>
      </c>
      <c r="P19" s="18">
        <f>SUMIF(Ohj.lask.[Maakunta],Maakunt.[[#This Row],[Maakunta]],Ohj.lask.[Painotetut pisteet 3])</f>
        <v>9334.7000000000007</v>
      </c>
      <c r="Q19" s="16">
        <f>SUMIF(Ohj.lask.[Maakunta],Maakunt.[[#This Row],[Maakunta]],Ohj.lask.[%-osuus 3])</f>
        <v>4.6902642861700851E-2</v>
      </c>
      <c r="R19" s="17">
        <f>SUMIF(Ohj.lask.[Maakunta],Maakunt.[[#This Row],[Maakunta]],Ohj.lask.[Jaettava € 3])</f>
        <v>6458176</v>
      </c>
      <c r="S19" s="18">
        <f>SUMIF(Ohj.lask.[Maakunta],Maakunt.[[#This Row],[Maakunta]],Ohj.lask.[Painotetut pisteet 4])</f>
        <v>68413.7</v>
      </c>
      <c r="T19" s="16">
        <f>SUMIF(Ohj.lask.[Maakunta],Maakunt.[[#This Row],[Maakunta]],Ohj.lask.[%-osuus 4])</f>
        <v>4.1562232599224383E-2</v>
      </c>
      <c r="U19" s="17">
        <f>SUMIF(Ohj.lask.[Maakunta],Maakunt.[[#This Row],[Maakunta]],Ohj.lask.[Jaettava € 4])</f>
        <v>476904</v>
      </c>
      <c r="V19" s="18">
        <f>SUMIF(Ohj.lask.[Maakunta],Maakunt.[[#This Row],[Maakunta]],Ohj.lask.[Painotetut pisteet 5])</f>
        <v>400368.1</v>
      </c>
      <c r="W19" s="16">
        <f>SUMIF(Ohj.lask.[Maakunta],Maakunt.[[#This Row],[Maakunta]],Ohj.lask.[%-osuus 5])</f>
        <v>4.6438748071200131E-2</v>
      </c>
      <c r="X19" s="17">
        <f>SUMIF(Ohj.lask.[Maakunta],Maakunt.[[#This Row],[Maakunta]],Ohj.lask.[Jaettava € 5])</f>
        <v>1598576</v>
      </c>
      <c r="Y19" s="19">
        <f>SUMIF(Ohj.lask.[Maakunta],Maakunt.[[#This Row],[Maakunta]],Ohj.lask.[%-osuus 6])</f>
        <v>4.2794347952458824E-2</v>
      </c>
      <c r="Z19" s="17">
        <f>SUMIF(Ohj.lask.[Maakunta],Maakunt.[[#This Row],[Maakunta]],Ohj.lask.[Jaettava € 6])</f>
        <v>77468212</v>
      </c>
      <c r="AA19" s="18">
        <f>SUMIF(Ohj.lask.[Maakunta],Maakunt.[[#This Row],[Maakunta]],Ohj.lask.[Hakemus, € 1])</f>
        <v>340808</v>
      </c>
      <c r="AB19" s="17">
        <f>SUMIF(Ohj.lask.[Maakunta],Maakunt.[[#This Row],[Maakunta]],Ohj.lask.[Päätös, € 1])</f>
        <v>0</v>
      </c>
      <c r="AC19" s="18">
        <f>SUMIF(Ohj.lask.[Maakunta],Maakunt.[[#This Row],[Maakunta]],Ohj.lask.[Hakemus, € 2])</f>
        <v>1150000</v>
      </c>
      <c r="AD19" s="17">
        <f>SUMIF(Ohj.lask.[Maakunta],Maakunt.[[#This Row],[Maakunta]],Ohj.lask.[Päätös, € 2])</f>
        <v>0</v>
      </c>
      <c r="AE19" s="18">
        <f>SUMIF(Ohj.lask.[Maakunta],Maakunt.[[#This Row],[Maakunta]],Ohj.lask.[Hakemus, € 3])</f>
        <v>2055000</v>
      </c>
      <c r="AF19" s="17">
        <f>SUMIF(Ohj.lask.[Maakunta],Maakunt.[[#This Row],[Maakunta]],Ohj.lask.[Päätös, € 3])</f>
        <v>0</v>
      </c>
      <c r="AG19" s="18">
        <f>SUMIF(Ohj.lask.[Maakunta],Maakunt.[[#This Row],[Maakunta]],Ohj.lask.[Hakemus, € 4])</f>
        <v>477685</v>
      </c>
      <c r="AH19" s="17">
        <f>SUMIF(Ohj.lask.[Maakunta],Maakunt.[[#This Row],[Maakunta]],Ohj.lask.[Päätös, € 4])</f>
        <v>0</v>
      </c>
      <c r="AI19" s="18">
        <f>SUMIF(Ohj.lask.[Maakunta],Maakunt.[[#This Row],[Maakunta]],Ohj.lask.[Hakemus, € 5])</f>
        <v>20000</v>
      </c>
      <c r="AJ19" s="23">
        <f>SUMIF(Ohj.lask.[Maakunta],Maakunt.[[#This Row],[Maakunta]],Ohj.lask.[Päätös, € 5])</f>
        <v>80000</v>
      </c>
      <c r="AK19" s="18">
        <f>SUMIF(Ohj.lask.[Maakunta],Maakunt.[[#This Row],[Maakunta]],Ohj.lask.[Hakemus, € 6])</f>
        <v>45000</v>
      </c>
      <c r="AL19" s="17">
        <f>SUMIF(Ohj.lask.[Maakunta],Maakunt.[[#This Row],[Maakunta]],Ohj.lask.[Päätös, € 6])</f>
        <v>0</v>
      </c>
      <c r="AM19" s="18">
        <f>SUMIF(Ohj.lask.[Maakunta],Maakunt.[[#This Row],[Maakunta]],Ohj.lask.[Hakemus, € 7])</f>
        <v>42000</v>
      </c>
      <c r="AN19" s="23">
        <f>SUMIF(Ohj.lask.[Maakunta],Maakunt.[[#This Row],[Maakunta]],Ohj.lask.[Päätös, € 7])</f>
        <v>20000</v>
      </c>
      <c r="AO19" s="17">
        <f>SUMIF(Ohj.lask.[Maakunta],Maakunt.[[#This Row],[Maakunta]],Ohj.lask.[Hakemus, € 8])</f>
        <v>110000</v>
      </c>
      <c r="AP19" s="17">
        <f>SUMIF(Ohj.lask.[Maakunta],Maakunt.[[#This Row],[Maakunta]],Ohj.lask.[Päätös, € 8])</f>
        <v>42000</v>
      </c>
      <c r="AQ19" s="18">
        <f>Maakunt.[[#This Row],[Hakemus, € 1]]+Maakunt.[[#This Row],[Hakemus, € 2]]+Maakunt.[[#This Row],[Hakemus, € 3]]+Maakunt.[[#This Row],[Hakemus, € 4]]+Maakunt.[[#This Row],[Hakemus, € 5]]+Maakunt.[[#This Row],[Hakemus, € 6]]+Maakunt.[[#This Row],[Hakemus, € 7]]+Maakunt.[[#This Row],[Hakemus, € 8]]</f>
        <v>4240493</v>
      </c>
      <c r="AR19" s="17">
        <f>Maakunt.[[#This Row],[Päätös, € 1]]+Maakunt.[[#This Row],[Päätös, € 2]]+Maakunt.[[#This Row],[Päätös, € 3]]+Maakunt.[[#This Row],[Päätös, € 4]]+Maakunt.[[#This Row],[Päätös, € 5]]+Maakunt.[[#This Row],[Päätös, € 6]]+Maakunt.[[#This Row],[Päätös, € 7]]+Maakunt.[[#This Row],[Päätös, € 8]]</f>
        <v>142000</v>
      </c>
      <c r="AS19" s="18">
        <f>SUMIF(Ohj.lask.[Maakunta],Maakunt.[[#This Row],[Maakunta]],Ohj.lask.[Suoriteperusteinen (opiskelijavuosiin perustuva) sekä harkinnanvarainen korotus, €])</f>
        <v>52996173</v>
      </c>
      <c r="AT19" s="18">
        <f>SUMIF(Ohj.lask.[Maakunta],Maakunt.[[#This Row],[Maakunta]],Ohj.lask.[Suoritusrahoitus, €])</f>
        <v>16080383</v>
      </c>
      <c r="AU19" s="18">
        <f>SUMIF(Ohj.lask.[Maakunta],Maakunt.[[#This Row],[Maakunta]],Ohj.lask.[Työllistymiseen ja jatko-opintoihin siirtymiseen perustuva sekä opiskelija-palautteisiin perustuva, €])</f>
        <v>8533656</v>
      </c>
      <c r="AV19" s="42">
        <f>SUMIF(Ohj.lask.[Maakunta],Maakunt.[[#This Row],[Maakunta]],Ohj.lask.[Perus-, suoritus- ja vaikuttavuusrahoitus yhteensä, €])</f>
        <v>77610212</v>
      </c>
      <c r="AW19" s="19">
        <f>Maakunt.[[#This Row],[Jaettava € 1]]/Maakunt.[[#This Row],[Perus-, suoritus- ja vaikuttavuusrahoitus yhteensä, €]]</f>
        <v>0.68102085586365879</v>
      </c>
      <c r="AX19" s="16">
        <f>Maakunt.[[#This Row],[Suoriteperusteinen (opiskelijavuosiin perustuva) sekä harkinnanvarainen korotus, €]]/Maakunt.[[#This Row],[Perus-, suoritus- ja vaikuttavuusrahoitus yhteensä, €]]</f>
        <v>0.68285051199190128</v>
      </c>
      <c r="AY19" s="49">
        <f>Maakunt.[[#This Row],[Suoritusrahoitus, €]]/Maakunt.[[#This Row],[Perus-, suoritus- ja vaikuttavuusrahoitus yhteensä, €]]</f>
        <v>0.20719416408758168</v>
      </c>
      <c r="AZ19" s="16">
        <f>Maakunt.[[#This Row],[Työllistymiseen ja jatko-opintoihin siirtymiseen perustuva sekä opiskelija-palautteisiin perustuva, €]]/Maakunt.[[#This Row],[Perus-, suoritus- ja vaikuttavuusrahoitus yhteensä, €]]</f>
        <v>0.10995532392051706</v>
      </c>
      <c r="BA19" s="16">
        <f>SUMIF(Ohj.lask.[Maakunta],Maakunt.[[#This Row],[Maakunta]],Ohj.lask.[Jaettava € 3])/Maakunt.[[#This Row],[Perus-, suoritus- ja vaikuttavuusrahoitus yhteensä, €]]</f>
        <v>8.321296687090611E-2</v>
      </c>
      <c r="BB19" s="16">
        <f>SUMIF(Ohj.lask.[Maakunta],Maakunt.[[#This Row],[Maakunta]],Ohj.lask.[Jaettava € 4])/Maakunt.[[#This Row],[Perus-, suoritus- ja vaikuttavuusrahoitus yhteensä, €]]</f>
        <v>6.144861451995518E-3</v>
      </c>
      <c r="BC19" s="43">
        <f>SUMIF(Ohj.lask.[Maakunta],Maakunt.[[#This Row],[Maakunta]],Ohj.lask.[Jaettava € 5])/Maakunt.[[#This Row],[Perus-, suoritus- ja vaikuttavuusrahoitus yhteensä, €]]</f>
        <v>2.0597495597615426E-2</v>
      </c>
      <c r="BD19" s="18">
        <f>SUMIF(Vertailu[Maakunta],Maakunt.[[#This Row],[Maakunta]],Vertailu[Rahoitus ml. hark. kor. 
2020 ilman alv, €])</f>
        <v>77939022</v>
      </c>
      <c r="BE19" s="18">
        <f>SUMIF(Vertailu[Maakunta],Maakunt.[[#This Row],[Maakunta]],Vertailu[Rahoitus ml. hark. kor. 
2021 ilman alv, €])</f>
        <v>77610212</v>
      </c>
      <c r="BF19" s="18">
        <f>SUMIF(Vertailu[Maakunta],Maakunt.[[#This Row],[Maakunta]],Vertailu[Muutos, € 2])</f>
        <v>-328810</v>
      </c>
      <c r="BG19" s="43">
        <f>IFERROR(Maakunt.[[#This Row],[Muutos, € 2]]/Maakunt.[[#This Row],[Rahoitus ml. hark. kor. 
2020 ilman alv, €]],0)</f>
        <v>-4.2188109571095209E-3</v>
      </c>
    </row>
    <row r="20" spans="1:59" x14ac:dyDescent="0.2">
      <c r="A20" s="22" t="s">
        <v>230</v>
      </c>
      <c r="B20" s="22">
        <f>COUNTIF(Ohj.lask.[Maakunta],Maakunt.[[#This Row],[Maakunta]])</f>
        <v>5</v>
      </c>
      <c r="C20" s="22">
        <f>COUNTIFS(Ohj.lask.[Maakunta],Maakunt.[[#This Row],[Maakunta]],Ohj.lask.[Omistajatyyppi],"=yksityinen")</f>
        <v>4</v>
      </c>
      <c r="D20" s="22">
        <f>COUNTIFS(Ohj.lask.[Maakunta],Maakunt.[[#This Row],[Maakunta]],Ohj.lask.[Omistajatyyppi],"=kunta")</f>
        <v>0</v>
      </c>
      <c r="E20" s="22">
        <f>COUNTIFS(Ohj.lask.[Maakunta],Maakunt.[[#This Row],[Maakunta]],Ohj.lask.[Omistajatyyppi],"=kuntayhtymä")</f>
        <v>1</v>
      </c>
      <c r="F20" s="18">
        <f>SUMIF(Ohj.lask.[Maakunta],Maakunt.[[#This Row],[Maakunta]],Ohj.lask.[Järjestämisluvan opisk.vuosien vähimmäismäärä])</f>
        <v>5903</v>
      </c>
      <c r="G20" s="17">
        <f>SUMIF(Ohj.lask.[Maakunta],Maakunt.[[#This Row],[Maakunta]],Ohj.lask.[Suoritepäätöksellä jaettavat opisk.vuodet (luvan ylittävä osuus)])</f>
        <v>852</v>
      </c>
      <c r="H20" s="17">
        <f>SUMIF(Ohj.lask.[Maakunta],Maakunt.[[#This Row],[Maakunta]],Ohj.lask.[Tavoitteelliset opiskelija-vuodet])</f>
        <v>6755</v>
      </c>
      <c r="I20" s="80">
        <f>Maakunt.[[#This Row],[Painotetut opiskelija-vuodet]]/Maakunt.[[#This Row],[Tavoitteelliset opiskelija-vuodet]]</f>
        <v>1.0467949666913399</v>
      </c>
      <c r="J20" s="81">
        <f>SUMIF(Ohj.lask.[Maakunta],Maakunt.[[#This Row],[Maakunta]],Ohj.lask.[Painotetut opiskelija-vuodet])</f>
        <v>7071.1</v>
      </c>
      <c r="K20" s="16">
        <f>SUMIF(Ohj.lask.[Maakunta],Maakunt.[[#This Row],[Maakunta]],Ohj.lask.[%-osuus 1])</f>
        <v>3.4531711490678393E-2</v>
      </c>
      <c r="L20" s="17">
        <f>SUMIF(Ohj.lask.[Maakunta],Maakunt.[[#This Row],[Maakunta]],Ohj.lask.[Jaettava € 1])</f>
        <v>43491689</v>
      </c>
      <c r="M20" s="18">
        <f>SUMIF(Ohj.lask.[Maakunta],Maakunt.[[#This Row],[Maakunta]],Ohj.lask.[Painotetut pisteet 2])</f>
        <v>540639.4</v>
      </c>
      <c r="N20" s="16">
        <f>SUMIF(Ohj.lask.[Maakunta],Maakunt.[[#This Row],[Maakunta]],Ohj.lask.[%-osuus 2])</f>
        <v>3.4706918862511052E-2</v>
      </c>
      <c r="O20" s="17">
        <f>SUMIF(Ohj.lask.[Maakunta],Maakunt.[[#This Row],[Maakunta]],Ohj.lask.[Jaettava € 2])</f>
        <v>12743755</v>
      </c>
      <c r="P20" s="18">
        <f>SUMIF(Ohj.lask.[Maakunta],Maakunt.[[#This Row],[Maakunta]],Ohj.lask.[Painotetut pisteet 3])</f>
        <v>7748.0999999999995</v>
      </c>
      <c r="Q20" s="16">
        <f>SUMIF(Ohj.lask.[Maakunta],Maakunt.[[#This Row],[Maakunta]],Ohj.lask.[%-osuus 3])</f>
        <v>3.8930695914892219E-2</v>
      </c>
      <c r="R20" s="17">
        <f>SUMIF(Ohj.lask.[Maakunta],Maakunt.[[#This Row],[Maakunta]],Ohj.lask.[Jaettava € 3])</f>
        <v>5360494</v>
      </c>
      <c r="S20" s="18">
        <f>SUMIF(Ohj.lask.[Maakunta],Maakunt.[[#This Row],[Maakunta]],Ohj.lask.[Painotetut pisteet 4])</f>
        <v>51494.400000000001</v>
      </c>
      <c r="T20" s="16">
        <f>SUMIF(Ohj.lask.[Maakunta],Maakunt.[[#This Row],[Maakunta]],Ohj.lask.[%-osuus 4])</f>
        <v>3.1283532835638186E-2</v>
      </c>
      <c r="U20" s="17">
        <f>SUMIF(Ohj.lask.[Maakunta],Maakunt.[[#This Row],[Maakunta]],Ohj.lask.[Jaettava € 4])</f>
        <v>358961</v>
      </c>
      <c r="V20" s="18">
        <f>SUMIF(Ohj.lask.[Maakunta],Maakunt.[[#This Row],[Maakunta]],Ohj.lask.[Painotetut pisteet 5])</f>
        <v>245630.3</v>
      </c>
      <c r="W20" s="16">
        <f>SUMIF(Ohj.lask.[Maakunta],Maakunt.[[#This Row],[Maakunta]],Ohj.lask.[%-osuus 5])</f>
        <v>2.8490690492957126E-2</v>
      </c>
      <c r="X20" s="17">
        <f>SUMIF(Ohj.lask.[Maakunta],Maakunt.[[#This Row],[Maakunta]],Ohj.lask.[Jaettava € 5])</f>
        <v>980745</v>
      </c>
      <c r="Y20" s="19">
        <f>SUMIF(Ohj.lask.[Maakunta],Maakunt.[[#This Row],[Maakunta]],Ohj.lask.[%-osuus 6])</f>
        <v>3.476638712079836E-2</v>
      </c>
      <c r="Z20" s="17">
        <f>SUMIF(Ohj.lask.[Maakunta],Maakunt.[[#This Row],[Maakunta]],Ohj.lask.[Jaettava € 6])</f>
        <v>62935644</v>
      </c>
      <c r="AA20" s="18">
        <f>SUMIF(Ohj.lask.[Maakunta],Maakunt.[[#This Row],[Maakunta]],Ohj.lask.[Hakemus, € 1])</f>
        <v>0</v>
      </c>
      <c r="AB20" s="17">
        <f>SUMIF(Ohj.lask.[Maakunta],Maakunt.[[#This Row],[Maakunta]],Ohj.lask.[Päätös, € 1])</f>
        <v>0</v>
      </c>
      <c r="AC20" s="18">
        <f>SUMIF(Ohj.lask.[Maakunta],Maakunt.[[#This Row],[Maakunta]],Ohj.lask.[Hakemus, € 2])</f>
        <v>0</v>
      </c>
      <c r="AD20" s="17">
        <f>SUMIF(Ohj.lask.[Maakunta],Maakunt.[[#This Row],[Maakunta]],Ohj.lask.[Päätös, € 2])</f>
        <v>0</v>
      </c>
      <c r="AE20" s="18">
        <f>SUMIF(Ohj.lask.[Maakunta],Maakunt.[[#This Row],[Maakunta]],Ohj.lask.[Hakemus, € 3])</f>
        <v>72000</v>
      </c>
      <c r="AF20" s="17">
        <f>SUMIF(Ohj.lask.[Maakunta],Maakunt.[[#This Row],[Maakunta]],Ohj.lask.[Päätös, € 3])</f>
        <v>0</v>
      </c>
      <c r="AG20" s="18">
        <f>SUMIF(Ohj.lask.[Maakunta],Maakunt.[[#This Row],[Maakunta]],Ohj.lask.[Hakemus, € 4])</f>
        <v>795000</v>
      </c>
      <c r="AH20" s="17">
        <f>SUMIF(Ohj.lask.[Maakunta],Maakunt.[[#This Row],[Maakunta]],Ohj.lask.[Päätös, € 4])</f>
        <v>0</v>
      </c>
      <c r="AI20" s="18">
        <f>SUMIF(Ohj.lask.[Maakunta],Maakunt.[[#This Row],[Maakunta]],Ohj.lask.[Hakemus, € 5])</f>
        <v>0</v>
      </c>
      <c r="AJ20" s="23">
        <f>SUMIF(Ohj.lask.[Maakunta],Maakunt.[[#This Row],[Maakunta]],Ohj.lask.[Päätös, € 5])</f>
        <v>0</v>
      </c>
      <c r="AK20" s="18">
        <f>SUMIF(Ohj.lask.[Maakunta],Maakunt.[[#This Row],[Maakunta]],Ohj.lask.[Hakemus, € 6])</f>
        <v>56000</v>
      </c>
      <c r="AL20" s="17">
        <f>SUMIF(Ohj.lask.[Maakunta],Maakunt.[[#This Row],[Maakunta]],Ohj.lask.[Päätös, € 6])</f>
        <v>0</v>
      </c>
      <c r="AM20" s="18">
        <f>SUMIF(Ohj.lask.[Maakunta],Maakunt.[[#This Row],[Maakunta]],Ohj.lask.[Hakemus, € 7])</f>
        <v>212000</v>
      </c>
      <c r="AN20" s="23">
        <f>SUMIF(Ohj.lask.[Maakunta],Maakunt.[[#This Row],[Maakunta]],Ohj.lask.[Päätös, € 7])</f>
        <v>160000</v>
      </c>
      <c r="AO20" s="17">
        <f>SUMIF(Ohj.lask.[Maakunta],Maakunt.[[#This Row],[Maakunta]],Ohj.lask.[Hakemus, € 8])</f>
        <v>130000</v>
      </c>
      <c r="AP20" s="17">
        <f>SUMIF(Ohj.lask.[Maakunta],Maakunt.[[#This Row],[Maakunta]],Ohj.lask.[Päätös, € 8])</f>
        <v>35000</v>
      </c>
      <c r="AQ20" s="18">
        <f>Maakunt.[[#This Row],[Hakemus, € 1]]+Maakunt.[[#This Row],[Hakemus, € 2]]+Maakunt.[[#This Row],[Hakemus, € 3]]+Maakunt.[[#This Row],[Hakemus, € 4]]+Maakunt.[[#This Row],[Hakemus, € 5]]+Maakunt.[[#This Row],[Hakemus, € 6]]+Maakunt.[[#This Row],[Hakemus, € 7]]+Maakunt.[[#This Row],[Hakemus, € 8]]</f>
        <v>1265000</v>
      </c>
      <c r="AR20" s="17">
        <f>Maakunt.[[#This Row],[Päätös, € 1]]+Maakunt.[[#This Row],[Päätös, € 2]]+Maakunt.[[#This Row],[Päätös, € 3]]+Maakunt.[[#This Row],[Päätös, € 4]]+Maakunt.[[#This Row],[Päätös, € 5]]+Maakunt.[[#This Row],[Päätös, € 6]]+Maakunt.[[#This Row],[Päätös, € 7]]+Maakunt.[[#This Row],[Päätös, € 8]]</f>
        <v>195000</v>
      </c>
      <c r="AS20" s="18">
        <f>SUMIF(Ohj.lask.[Maakunta],Maakunt.[[#This Row],[Maakunta]],Ohj.lask.[Suoriteperusteinen (opiskelijavuosiin perustuva) sekä harkinnanvarainen korotus, €])</f>
        <v>43686689</v>
      </c>
      <c r="AT20" s="18">
        <f>SUMIF(Ohj.lask.[Maakunta],Maakunt.[[#This Row],[Maakunta]],Ohj.lask.[Suoritusrahoitus, €])</f>
        <v>12743755</v>
      </c>
      <c r="AU20" s="18">
        <f>SUMIF(Ohj.lask.[Maakunta],Maakunt.[[#This Row],[Maakunta]],Ohj.lask.[Työllistymiseen ja jatko-opintoihin siirtymiseen perustuva sekä opiskelija-palautteisiin perustuva, €])</f>
        <v>6700200</v>
      </c>
      <c r="AV20" s="42">
        <f>SUMIF(Ohj.lask.[Maakunta],Maakunt.[[#This Row],[Maakunta]],Ohj.lask.[Perus-, suoritus- ja vaikuttavuusrahoitus yhteensä, €])</f>
        <v>63130644</v>
      </c>
      <c r="AW20" s="19">
        <f>Maakunt.[[#This Row],[Jaettava € 1]]/Maakunt.[[#This Row],[Perus-, suoritus- ja vaikuttavuusrahoitus yhteensä, €]]</f>
        <v>0.68891565560459034</v>
      </c>
      <c r="AX20" s="16">
        <f>Maakunt.[[#This Row],[Suoriteperusteinen (opiskelijavuosiin perustuva) sekä harkinnanvarainen korotus, €]]/Maakunt.[[#This Row],[Perus-, suoritus- ja vaikuttavuusrahoitus yhteensä, €]]</f>
        <v>0.69200448834325212</v>
      </c>
      <c r="AY20" s="49">
        <f>Maakunt.[[#This Row],[Suoritusrahoitus, €]]/Maakunt.[[#This Row],[Perus-, suoritus- ja vaikuttavuusrahoitus yhteensä, €]]</f>
        <v>0.20186321875633012</v>
      </c>
      <c r="AZ20" s="16">
        <f>Maakunt.[[#This Row],[Työllistymiseen ja jatko-opintoihin siirtymiseen perustuva sekä opiskelija-palautteisiin perustuva, €]]/Maakunt.[[#This Row],[Perus-, suoritus- ja vaikuttavuusrahoitus yhteensä, €]]</f>
        <v>0.10613229290041774</v>
      </c>
      <c r="BA20" s="16">
        <f>SUMIF(Ohj.lask.[Maakunta],Maakunt.[[#This Row],[Maakunta]],Ohj.lask.[Jaettava € 3])/Maakunt.[[#This Row],[Perus-, suoritus- ja vaikuttavuusrahoitus yhteensä, €]]</f>
        <v>8.4911124936409649E-2</v>
      </c>
      <c r="BB20" s="16">
        <f>SUMIF(Ohj.lask.[Maakunta],Maakunt.[[#This Row],[Maakunta]],Ohj.lask.[Jaettava € 4])/Maakunt.[[#This Row],[Perus-, suoritus- ja vaikuttavuusrahoitus yhteensä, €]]</f>
        <v>5.6860025061680032E-3</v>
      </c>
      <c r="BC20" s="43">
        <f>SUMIF(Ohj.lask.[Maakunta],Maakunt.[[#This Row],[Maakunta]],Ohj.lask.[Jaettava € 5])/Maakunt.[[#This Row],[Perus-, suoritus- ja vaikuttavuusrahoitus yhteensä, €]]</f>
        <v>1.5535165457840094E-2</v>
      </c>
      <c r="BD20" s="18">
        <f>SUMIF(Vertailu[Maakunta],Maakunt.[[#This Row],[Maakunta]],Vertailu[Rahoitus ml. hark. kor. 
2020 ilman alv, €])</f>
        <v>60973498</v>
      </c>
      <c r="BE20" s="18">
        <f>SUMIF(Vertailu[Maakunta],Maakunt.[[#This Row],[Maakunta]],Vertailu[Rahoitus ml. hark. kor. 
2021 ilman alv, €])</f>
        <v>63130644</v>
      </c>
      <c r="BF20" s="18">
        <f>SUMIF(Vertailu[Maakunta],Maakunt.[[#This Row],[Maakunta]],Vertailu[Muutos, € 2])</f>
        <v>2157146</v>
      </c>
      <c r="BG20" s="43">
        <f>IFERROR(Maakunt.[[#This Row],[Muutos, € 2]]/Maakunt.[[#This Row],[Rahoitus ml. hark. kor. 
2020 ilman alv, €]],0)</f>
        <v>3.5378419653732181E-2</v>
      </c>
    </row>
    <row r="21" spans="1:59" x14ac:dyDescent="0.2">
      <c r="A21" s="22" t="s">
        <v>265</v>
      </c>
      <c r="B21" s="22">
        <f>COUNTIF(Ohj.lask.[Maakunta],Maakunt.[[#This Row],[Maakunta]])</f>
        <v>5</v>
      </c>
      <c r="C21" s="22">
        <f>COUNTIFS(Ohj.lask.[Maakunta],Maakunt.[[#This Row],[Maakunta]],Ohj.lask.[Omistajatyyppi],"=yksityinen")</f>
        <v>4</v>
      </c>
      <c r="D21" s="22">
        <f>COUNTIFS(Ohj.lask.[Maakunta],Maakunt.[[#This Row],[Maakunta]],Ohj.lask.[Omistajatyyppi],"=kunta")</f>
        <v>0</v>
      </c>
      <c r="E21" s="22">
        <f>COUNTIFS(Ohj.lask.[Maakunta],Maakunt.[[#This Row],[Maakunta]],Ohj.lask.[Omistajatyyppi],"=kuntayhtymä")</f>
        <v>1</v>
      </c>
      <c r="F21" s="18">
        <f>SUMIF(Ohj.lask.[Maakunta],Maakunt.[[#This Row],[Maakunta]],Ohj.lask.[Järjestämisluvan opisk.vuosien vähimmäismäärä])</f>
        <v>6272</v>
      </c>
      <c r="G21" s="17">
        <f>SUMIF(Ohj.lask.[Maakunta],Maakunt.[[#This Row],[Maakunta]],Ohj.lask.[Suoritepäätöksellä jaettavat opisk.vuodet (luvan ylittävä osuus)])</f>
        <v>1102</v>
      </c>
      <c r="H21" s="17">
        <f>SUMIF(Ohj.lask.[Maakunta],Maakunt.[[#This Row],[Maakunta]],Ohj.lask.[Tavoitteelliset opiskelija-vuodet])</f>
        <v>7374</v>
      </c>
      <c r="I21" s="80">
        <f>Maakunt.[[#This Row],[Painotetut opiskelija-vuodet]]/Maakunt.[[#This Row],[Tavoitteelliset opiskelija-vuodet]]</f>
        <v>1.0329129373474368</v>
      </c>
      <c r="J21" s="81">
        <f>SUMIF(Ohj.lask.[Maakunta],Maakunt.[[#This Row],[Maakunta]],Ohj.lask.[Painotetut opiskelija-vuodet])</f>
        <v>7616.6999999999989</v>
      </c>
      <c r="K21" s="16">
        <f>SUMIF(Ohj.lask.[Maakunta],Maakunt.[[#This Row],[Maakunta]],Ohj.lask.[%-osuus 1])</f>
        <v>3.7196148677157745E-2</v>
      </c>
      <c r="L21" s="17">
        <f>SUMIF(Ohj.lask.[Maakunta],Maakunt.[[#This Row],[Maakunta]],Ohj.lask.[Jaettava € 1])</f>
        <v>46847471</v>
      </c>
      <c r="M21" s="18">
        <f>SUMIF(Ohj.lask.[Maakunta],Maakunt.[[#This Row],[Maakunta]],Ohj.lask.[Painotetut pisteet 2])</f>
        <v>582038.69999999995</v>
      </c>
      <c r="N21" s="16">
        <f>SUMIF(Ohj.lask.[Maakunta],Maakunt.[[#This Row],[Maakunta]],Ohj.lask.[%-osuus 2])</f>
        <v>3.7364590771115473E-2</v>
      </c>
      <c r="O21" s="17">
        <f>SUMIF(Ohj.lask.[Maakunta],Maakunt.[[#This Row],[Maakunta]],Ohj.lask.[Jaettava € 2])</f>
        <v>13719605</v>
      </c>
      <c r="P21" s="18">
        <f>SUMIF(Ohj.lask.[Maakunta],Maakunt.[[#This Row],[Maakunta]],Ohj.lask.[Painotetut pisteet 3])</f>
        <v>7869</v>
      </c>
      <c r="Q21" s="16">
        <f>SUMIF(Ohj.lask.[Maakunta],Maakunt.[[#This Row],[Maakunta]],Ohj.lask.[%-osuus 3])</f>
        <v>3.953816369875026E-2</v>
      </c>
      <c r="R21" s="17">
        <f>SUMIF(Ohj.lask.[Maakunta],Maakunt.[[#This Row],[Maakunta]],Ohj.lask.[Jaettava € 3])</f>
        <v>5444138</v>
      </c>
      <c r="S21" s="18">
        <f>SUMIF(Ohj.lask.[Maakunta],Maakunt.[[#This Row],[Maakunta]],Ohj.lask.[Painotetut pisteet 4])</f>
        <v>81089</v>
      </c>
      <c r="T21" s="16">
        <f>SUMIF(Ohj.lask.[Maakunta],Maakunt.[[#This Row],[Maakunta]],Ohj.lask.[%-osuus 4])</f>
        <v>4.9262645920897505E-2</v>
      </c>
      <c r="U21" s="17">
        <f>SUMIF(Ohj.lask.[Maakunta],Maakunt.[[#This Row],[Maakunta]],Ohj.lask.[Jaettava € 4])</f>
        <v>565261</v>
      </c>
      <c r="V21" s="18">
        <f>SUMIF(Ohj.lask.[Maakunta],Maakunt.[[#This Row],[Maakunta]],Ohj.lask.[Painotetut pisteet 5])</f>
        <v>397517.5</v>
      </c>
      <c r="W21" s="16">
        <f>SUMIF(Ohj.lask.[Maakunta],Maakunt.[[#This Row],[Maakunta]],Ohj.lask.[%-osuus 5])</f>
        <v>4.6108106605879176E-2</v>
      </c>
      <c r="X21" s="17">
        <f>SUMIF(Ohj.lask.[Maakunta],Maakunt.[[#This Row],[Maakunta]],Ohj.lask.[Jaettava € 5])</f>
        <v>1587193</v>
      </c>
      <c r="Y21" s="19">
        <f>SUMIF(Ohj.lask.[Maakunta],Maakunt.[[#This Row],[Maakunta]],Ohj.lask.[%-osuus 6])</f>
        <v>3.7654408831688059E-2</v>
      </c>
      <c r="Z21" s="17">
        <f>SUMIF(Ohj.lask.[Maakunta],Maakunt.[[#This Row],[Maakunta]],Ohj.lask.[Jaettava € 6])</f>
        <v>68163668</v>
      </c>
      <c r="AA21" s="18">
        <f>SUMIF(Ohj.lask.[Maakunta],Maakunt.[[#This Row],[Maakunta]],Ohj.lask.[Hakemus, € 1])</f>
        <v>6880000</v>
      </c>
      <c r="AB21" s="17">
        <f>SUMIF(Ohj.lask.[Maakunta],Maakunt.[[#This Row],[Maakunta]],Ohj.lask.[Päätös, € 1])</f>
        <v>6400000</v>
      </c>
      <c r="AC21" s="18">
        <f>SUMIF(Ohj.lask.[Maakunta],Maakunt.[[#This Row],[Maakunta]],Ohj.lask.[Hakemus, € 2])</f>
        <v>0</v>
      </c>
      <c r="AD21" s="17">
        <f>SUMIF(Ohj.lask.[Maakunta],Maakunt.[[#This Row],[Maakunta]],Ohj.lask.[Päätös, € 2])</f>
        <v>0</v>
      </c>
      <c r="AE21" s="18">
        <f>SUMIF(Ohj.lask.[Maakunta],Maakunt.[[#This Row],[Maakunta]],Ohj.lask.[Hakemus, € 3])</f>
        <v>1000000</v>
      </c>
      <c r="AF21" s="17">
        <f>SUMIF(Ohj.lask.[Maakunta],Maakunt.[[#This Row],[Maakunta]],Ohj.lask.[Päätös, € 3])</f>
        <v>0</v>
      </c>
      <c r="AG21" s="18">
        <f>SUMIF(Ohj.lask.[Maakunta],Maakunt.[[#This Row],[Maakunta]],Ohj.lask.[Hakemus, € 4])</f>
        <v>230433</v>
      </c>
      <c r="AH21" s="17">
        <f>SUMIF(Ohj.lask.[Maakunta],Maakunt.[[#This Row],[Maakunta]],Ohj.lask.[Päätös, € 4])</f>
        <v>0</v>
      </c>
      <c r="AI21" s="18">
        <f>SUMIF(Ohj.lask.[Maakunta],Maakunt.[[#This Row],[Maakunta]],Ohj.lask.[Hakemus, € 5])</f>
        <v>150000</v>
      </c>
      <c r="AJ21" s="23">
        <f>SUMIF(Ohj.lask.[Maakunta],Maakunt.[[#This Row],[Maakunta]],Ohj.lask.[Päätös, € 5])</f>
        <v>55000</v>
      </c>
      <c r="AK21" s="18">
        <f>SUMIF(Ohj.lask.[Maakunta],Maakunt.[[#This Row],[Maakunta]],Ohj.lask.[Hakemus, € 6])</f>
        <v>0</v>
      </c>
      <c r="AL21" s="17">
        <f>SUMIF(Ohj.lask.[Maakunta],Maakunt.[[#This Row],[Maakunta]],Ohj.lask.[Päätös, € 6])</f>
        <v>0</v>
      </c>
      <c r="AM21" s="18">
        <f>SUMIF(Ohj.lask.[Maakunta],Maakunt.[[#This Row],[Maakunta]],Ohj.lask.[Hakemus, € 7])</f>
        <v>300000</v>
      </c>
      <c r="AN21" s="23">
        <f>SUMIF(Ohj.lask.[Maakunta],Maakunt.[[#This Row],[Maakunta]],Ohj.lask.[Päätös, € 7])</f>
        <v>180000</v>
      </c>
      <c r="AO21" s="17">
        <f>SUMIF(Ohj.lask.[Maakunta],Maakunt.[[#This Row],[Maakunta]],Ohj.lask.[Hakemus, € 8])</f>
        <v>0</v>
      </c>
      <c r="AP21" s="17">
        <f>SUMIF(Ohj.lask.[Maakunta],Maakunt.[[#This Row],[Maakunta]],Ohj.lask.[Päätös, € 8])</f>
        <v>0</v>
      </c>
      <c r="AQ21" s="18">
        <f>Maakunt.[[#This Row],[Hakemus, € 1]]+Maakunt.[[#This Row],[Hakemus, € 2]]+Maakunt.[[#This Row],[Hakemus, € 3]]+Maakunt.[[#This Row],[Hakemus, € 4]]+Maakunt.[[#This Row],[Hakemus, € 5]]+Maakunt.[[#This Row],[Hakemus, € 6]]+Maakunt.[[#This Row],[Hakemus, € 7]]+Maakunt.[[#This Row],[Hakemus, € 8]]</f>
        <v>8560433</v>
      </c>
      <c r="AR21" s="17">
        <f>Maakunt.[[#This Row],[Päätös, € 1]]+Maakunt.[[#This Row],[Päätös, € 2]]+Maakunt.[[#This Row],[Päätös, € 3]]+Maakunt.[[#This Row],[Päätös, € 4]]+Maakunt.[[#This Row],[Päätös, € 5]]+Maakunt.[[#This Row],[Päätös, € 6]]+Maakunt.[[#This Row],[Päätös, € 7]]+Maakunt.[[#This Row],[Päätös, € 8]]</f>
        <v>6635000</v>
      </c>
      <c r="AS21" s="18">
        <f>SUMIF(Ohj.lask.[Maakunta],Maakunt.[[#This Row],[Maakunta]],Ohj.lask.[Suoriteperusteinen (opiskelijavuosiin perustuva) sekä harkinnanvarainen korotus, €])</f>
        <v>53482471</v>
      </c>
      <c r="AT21" s="18">
        <f>SUMIF(Ohj.lask.[Maakunta],Maakunt.[[#This Row],[Maakunta]],Ohj.lask.[Suoritusrahoitus, €])</f>
        <v>13719605</v>
      </c>
      <c r="AU21" s="18">
        <f>SUMIF(Ohj.lask.[Maakunta],Maakunt.[[#This Row],[Maakunta]],Ohj.lask.[Työllistymiseen ja jatko-opintoihin siirtymiseen perustuva sekä opiskelija-palautteisiin perustuva, €])</f>
        <v>7596592</v>
      </c>
      <c r="AV21" s="42">
        <f>SUMIF(Ohj.lask.[Maakunta],Maakunt.[[#This Row],[Maakunta]],Ohj.lask.[Perus-, suoritus- ja vaikuttavuusrahoitus yhteensä, €])</f>
        <v>74798668</v>
      </c>
      <c r="AW21" s="19">
        <f>Maakunt.[[#This Row],[Jaettava € 1]]/Maakunt.[[#This Row],[Perus-, suoritus- ja vaikuttavuusrahoitus yhteensä, €]]</f>
        <v>0.62631424131777325</v>
      </c>
      <c r="AX21" s="16">
        <f>Maakunt.[[#This Row],[Suoriteperusteinen (opiskelijavuosiin perustuva) sekä harkinnanvarainen korotus, €]]/Maakunt.[[#This Row],[Perus-, suoritus- ja vaikuttavuusrahoitus yhteensä, €]]</f>
        <v>0.71501902948325224</v>
      </c>
      <c r="AY21" s="49">
        <f>Maakunt.[[#This Row],[Suoritusrahoitus, €]]/Maakunt.[[#This Row],[Perus-, suoritus- ja vaikuttavuusrahoitus yhteensä, €]]</f>
        <v>0.18342044540151436</v>
      </c>
      <c r="AZ21" s="16">
        <f>Maakunt.[[#This Row],[Työllistymiseen ja jatko-opintoihin siirtymiseen perustuva sekä opiskelija-palautteisiin perustuva, €]]/Maakunt.[[#This Row],[Perus-, suoritus- ja vaikuttavuusrahoitus yhteensä, €]]</f>
        <v>0.10156052511523334</v>
      </c>
      <c r="BA21" s="16">
        <f>SUMIF(Ohj.lask.[Maakunta],Maakunt.[[#This Row],[Maakunta]],Ohj.lask.[Jaettava € 3])/Maakunt.[[#This Row],[Perus-, suoritus- ja vaikuttavuusrahoitus yhteensä, €]]</f>
        <v>7.2783889681030153E-2</v>
      </c>
      <c r="BB21" s="16">
        <f>SUMIF(Ohj.lask.[Maakunta],Maakunt.[[#This Row],[Maakunta]],Ohj.lask.[Jaettava € 4])/Maakunt.[[#This Row],[Perus-, suoritus- ja vaikuttavuusrahoitus yhteensä, €]]</f>
        <v>7.5570998135956113E-3</v>
      </c>
      <c r="BC21" s="43">
        <f>SUMIF(Ohj.lask.[Maakunta],Maakunt.[[#This Row],[Maakunta]],Ohj.lask.[Jaettava € 5])/Maakunt.[[#This Row],[Perus-, suoritus- ja vaikuttavuusrahoitus yhteensä, €]]</f>
        <v>2.1219535620607577E-2</v>
      </c>
      <c r="BD21" s="18">
        <f>SUMIF(Vertailu[Maakunta],Maakunt.[[#This Row],[Maakunta]],Vertailu[Rahoitus ml. hark. kor. 
2020 ilman alv, €])</f>
        <v>70906768</v>
      </c>
      <c r="BE21" s="18">
        <f>SUMIF(Vertailu[Maakunta],Maakunt.[[#This Row],[Maakunta]],Vertailu[Rahoitus ml. hark. kor. 
2021 ilman alv, €])</f>
        <v>74798668</v>
      </c>
      <c r="BF21" s="18">
        <f>SUMIF(Vertailu[Maakunta],Maakunt.[[#This Row],[Maakunta]],Vertailu[Muutos, € 2])</f>
        <v>3891900</v>
      </c>
      <c r="BG21" s="43">
        <f>IFERROR(Maakunt.[[#This Row],[Muutos, € 2]]/Maakunt.[[#This Row],[Rahoitus ml. hark. kor. 
2020 ilman alv, €]],0)</f>
        <v>5.4887567291178746E-2</v>
      </c>
    </row>
    <row r="22" spans="1:59" x14ac:dyDescent="0.2">
      <c r="A22" s="22" t="s">
        <v>216</v>
      </c>
      <c r="B22" s="22">
        <f>COUNTIF(Ohj.lask.[Maakunta],Maakunt.[[#This Row],[Maakunta]])</f>
        <v>53</v>
      </c>
      <c r="C22" s="22">
        <f>COUNTIFS(Ohj.lask.[Maakunta],Maakunt.[[#This Row],[Maakunta]],Ohj.lask.[Omistajatyyppi],"=yksityinen")</f>
        <v>48</v>
      </c>
      <c r="D22" s="22">
        <f>COUNTIFS(Ohj.lask.[Maakunta],Maakunt.[[#This Row],[Maakunta]],Ohj.lask.[Omistajatyyppi],"=kunta")</f>
        <v>2</v>
      </c>
      <c r="E22" s="22">
        <f>COUNTIFS(Ohj.lask.[Maakunta],Maakunt.[[#This Row],[Maakunta]],Ohj.lask.[Omistajatyyppi],"=kuntayhtymä")</f>
        <v>3</v>
      </c>
      <c r="F22" s="18">
        <f>SUMIF(Ohj.lask.[Maakunta],Maakunt.[[#This Row],[Maakunta]],Ohj.lask.[Järjestämisluvan opisk.vuosien vähimmäismäärä])</f>
        <v>50508</v>
      </c>
      <c r="G22" s="17">
        <f>SUMIF(Ohj.lask.[Maakunta],Maakunt.[[#This Row],[Maakunta]],Ohj.lask.[Suoritepäätöksellä jaettavat opisk.vuodet (luvan ylittävä osuus)])</f>
        <v>9267</v>
      </c>
      <c r="H22" s="17">
        <f>SUMIF(Ohj.lask.[Maakunta],Maakunt.[[#This Row],[Maakunta]],Ohj.lask.[Tavoitteelliset opiskelija-vuodet])</f>
        <v>59775</v>
      </c>
      <c r="I22" s="80">
        <f>Maakunt.[[#This Row],[Painotetut opiskelija-vuodet]]/Maakunt.[[#This Row],[Tavoitteelliset opiskelija-vuodet]]</f>
        <v>1.2304542032622332</v>
      </c>
      <c r="J22" s="81">
        <f>SUMIF(Ohj.lask.[Maakunta],Maakunt.[[#This Row],[Maakunta]],Ohj.lask.[Painotetut opiskelija-vuodet])</f>
        <v>73550.399999999994</v>
      </c>
      <c r="K22" s="16">
        <f>SUMIF(Ohj.lask.[Maakunta],Maakunt.[[#This Row],[Maakunta]],Ohj.lask.[%-osuus 1])</f>
        <v>0.35918332265474845</v>
      </c>
      <c r="L22" s="17">
        <f>SUMIF(Ohj.lask.[Maakunta],Maakunt.[[#This Row],[Maakunta]],Ohj.lask.[Jaettava € 1])</f>
        <v>452380981</v>
      </c>
      <c r="M22" s="18">
        <f>SUMIF(Ohj.lask.[Maakunta],Maakunt.[[#This Row],[Maakunta]],Ohj.lask.[Painotetut pisteet 2])</f>
        <v>5208308.8000000007</v>
      </c>
      <c r="N22" s="16">
        <f>SUMIF(Ohj.lask.[Maakunta],Maakunt.[[#This Row],[Maakunta]],Ohj.lask.[%-osuus 2])</f>
        <v>0.33435289942335361</v>
      </c>
      <c r="O22" s="17">
        <f>SUMIF(Ohj.lask.[Maakunta],Maakunt.[[#This Row],[Maakunta]],Ohj.lask.[Jaettava € 2])</f>
        <v>122768367</v>
      </c>
      <c r="P22" s="18">
        <f>SUMIF(Ohj.lask.[Maakunta],Maakunt.[[#This Row],[Maakunta]],Ohj.lask.[Painotetut pisteet 3])</f>
        <v>60148.999999999985</v>
      </c>
      <c r="Q22" s="16">
        <f>SUMIF(Ohj.lask.[Maakunta],Maakunt.[[#This Row],[Maakunta]],Ohj.lask.[%-osuus 3])</f>
        <v>0.30222150315365737</v>
      </c>
      <c r="R22" s="17">
        <f>SUMIF(Ohj.lask.[Maakunta],Maakunt.[[#This Row],[Maakunta]],Ohj.lask.[Jaettava € 3])</f>
        <v>41613860</v>
      </c>
      <c r="S22" s="18">
        <f>SUMIF(Ohj.lask.[Maakunta],Maakunt.[[#This Row],[Maakunta]],Ohj.lask.[Painotetut pisteet 4])</f>
        <v>542229.10000000009</v>
      </c>
      <c r="T22" s="16">
        <f>SUMIF(Ohj.lask.[Maakunta],Maakunt.[[#This Row],[Maakunta]],Ohj.lask.[%-osuus 4])</f>
        <v>0.32941138947707987</v>
      </c>
      <c r="U22" s="17">
        <f>SUMIF(Ohj.lask.[Maakunta],Maakunt.[[#This Row],[Maakunta]],Ohj.lask.[Jaettava € 4])</f>
        <v>3779810</v>
      </c>
      <c r="V22" s="18">
        <f>SUMIF(Ohj.lask.[Maakunta],Maakunt.[[#This Row],[Maakunta]],Ohj.lask.[Painotetut pisteet 5])</f>
        <v>2599533.1</v>
      </c>
      <c r="W22" s="16">
        <f>SUMIF(Ohj.lask.[Maakunta],Maakunt.[[#This Row],[Maakunta]],Ohj.lask.[%-osuus 5])</f>
        <v>0.30152018288581411</v>
      </c>
      <c r="X22" s="17">
        <f>SUMIF(Ohj.lask.[Maakunta],Maakunt.[[#This Row],[Maakunta]],Ohj.lask.[Jaettava € 5])</f>
        <v>10379325</v>
      </c>
      <c r="Y22" s="19">
        <f>SUMIF(Ohj.lask.[Maakunta],Maakunt.[[#This Row],[Maakunta]],Ohj.lask.[%-osuus 6])</f>
        <v>0.34852889437183049</v>
      </c>
      <c r="Z22" s="17">
        <f>SUMIF(Ohj.lask.[Maakunta],Maakunt.[[#This Row],[Maakunta]],Ohj.lask.[Jaettava € 6])</f>
        <v>630922343</v>
      </c>
      <c r="AA22" s="18">
        <f>SUMIF(Ohj.lask.[Maakunta],Maakunt.[[#This Row],[Maakunta]],Ohj.lask.[Hakemus, € 1])</f>
        <v>5884257</v>
      </c>
      <c r="AB22" s="17">
        <f>SUMIF(Ohj.lask.[Maakunta],Maakunt.[[#This Row],[Maakunta]],Ohj.lask.[Päätös, € 1])</f>
        <v>1850000</v>
      </c>
      <c r="AC22" s="18">
        <f>SUMIF(Ohj.lask.[Maakunta],Maakunt.[[#This Row],[Maakunta]],Ohj.lask.[Hakemus, € 2])</f>
        <v>500700</v>
      </c>
      <c r="AD22" s="17">
        <f>SUMIF(Ohj.lask.[Maakunta],Maakunt.[[#This Row],[Maakunta]],Ohj.lask.[Päätös, € 2])</f>
        <v>50000</v>
      </c>
      <c r="AE22" s="18">
        <f>SUMIF(Ohj.lask.[Maakunta],Maakunt.[[#This Row],[Maakunta]],Ohj.lask.[Hakemus, € 3])</f>
        <v>255000</v>
      </c>
      <c r="AF22" s="17">
        <f>SUMIF(Ohj.lask.[Maakunta],Maakunt.[[#This Row],[Maakunta]],Ohj.lask.[Päätös, € 3])</f>
        <v>0</v>
      </c>
      <c r="AG22" s="18">
        <f>SUMIF(Ohj.lask.[Maakunta],Maakunt.[[#This Row],[Maakunta]],Ohj.lask.[Hakemus, € 4])</f>
        <v>2680644</v>
      </c>
      <c r="AH22" s="17">
        <f>SUMIF(Ohj.lask.[Maakunta],Maakunt.[[#This Row],[Maakunta]],Ohj.lask.[Päätös, € 4])</f>
        <v>0</v>
      </c>
      <c r="AI22" s="18">
        <f>SUMIF(Ohj.lask.[Maakunta],Maakunt.[[#This Row],[Maakunta]],Ohj.lask.[Hakemus, € 5])</f>
        <v>777500</v>
      </c>
      <c r="AJ22" s="23">
        <f>SUMIF(Ohj.lask.[Maakunta],Maakunt.[[#This Row],[Maakunta]],Ohj.lask.[Päätös, € 5])</f>
        <v>450000</v>
      </c>
      <c r="AK22" s="18">
        <f>SUMIF(Ohj.lask.[Maakunta],Maakunt.[[#This Row],[Maakunta]],Ohj.lask.[Hakemus, € 6])</f>
        <v>2305129</v>
      </c>
      <c r="AL22" s="17">
        <f>SUMIF(Ohj.lask.[Maakunta],Maakunt.[[#This Row],[Maakunta]],Ohj.lask.[Päätös, € 6])</f>
        <v>0</v>
      </c>
      <c r="AM22" s="18">
        <f>SUMIF(Ohj.lask.[Maakunta],Maakunt.[[#This Row],[Maakunta]],Ohj.lask.[Hakemus, € 7])</f>
        <v>1309000</v>
      </c>
      <c r="AN22" s="23">
        <f>SUMIF(Ohj.lask.[Maakunta],Maakunt.[[#This Row],[Maakunta]],Ohj.lask.[Päätös, € 7])</f>
        <v>580000</v>
      </c>
      <c r="AO22" s="17">
        <f>SUMIF(Ohj.lask.[Maakunta],Maakunt.[[#This Row],[Maakunta]],Ohj.lask.[Hakemus, € 8])</f>
        <v>391100</v>
      </c>
      <c r="AP22" s="17">
        <f>SUMIF(Ohj.lask.[Maakunta],Maakunt.[[#This Row],[Maakunta]],Ohj.lask.[Päätös, € 8])</f>
        <v>133000</v>
      </c>
      <c r="AQ22" s="18">
        <f>Maakunt.[[#This Row],[Hakemus, € 1]]+Maakunt.[[#This Row],[Hakemus, € 2]]+Maakunt.[[#This Row],[Hakemus, € 3]]+Maakunt.[[#This Row],[Hakemus, € 4]]+Maakunt.[[#This Row],[Hakemus, € 5]]+Maakunt.[[#This Row],[Hakemus, € 6]]+Maakunt.[[#This Row],[Hakemus, € 7]]+Maakunt.[[#This Row],[Hakemus, € 8]]</f>
        <v>14103330</v>
      </c>
      <c r="AR22" s="17">
        <f>Maakunt.[[#This Row],[Päätös, € 1]]+Maakunt.[[#This Row],[Päätös, € 2]]+Maakunt.[[#This Row],[Päätös, € 3]]+Maakunt.[[#This Row],[Päätös, € 4]]+Maakunt.[[#This Row],[Päätös, € 5]]+Maakunt.[[#This Row],[Päätös, € 6]]+Maakunt.[[#This Row],[Päätös, € 7]]+Maakunt.[[#This Row],[Päätös, € 8]]</f>
        <v>3063000</v>
      </c>
      <c r="AS22" s="18">
        <f>SUMIF(Ohj.lask.[Maakunta],Maakunt.[[#This Row],[Maakunta]],Ohj.lask.[Suoriteperusteinen (opiskelijavuosiin perustuva) sekä harkinnanvarainen korotus, €])</f>
        <v>455443981</v>
      </c>
      <c r="AT22" s="18">
        <f>SUMIF(Ohj.lask.[Maakunta],Maakunt.[[#This Row],[Maakunta]],Ohj.lask.[Suoritusrahoitus, €])</f>
        <v>122768367</v>
      </c>
      <c r="AU22" s="18">
        <f>SUMIF(Ohj.lask.[Maakunta],Maakunt.[[#This Row],[Maakunta]],Ohj.lask.[Työllistymiseen ja jatko-opintoihin siirtymiseen perustuva sekä opiskelija-palautteisiin perustuva, €])</f>
        <v>55772995</v>
      </c>
      <c r="AV22" s="42">
        <f>SUMIF(Ohj.lask.[Maakunta],Maakunt.[[#This Row],[Maakunta]],Ohj.lask.[Perus-, suoritus- ja vaikuttavuusrahoitus yhteensä, €])</f>
        <v>633985343</v>
      </c>
      <c r="AW22" s="19">
        <f>Maakunt.[[#This Row],[Jaettava € 1]]/Maakunt.[[#This Row],[Perus-, suoritus- ja vaikuttavuusrahoitus yhteensä, €]]</f>
        <v>0.71355116643445804</v>
      </c>
      <c r="AX22" s="16">
        <f>Maakunt.[[#This Row],[Suoriteperusteinen (opiskelijavuosiin perustuva) sekä harkinnanvarainen korotus, €]]/Maakunt.[[#This Row],[Perus-, suoritus- ja vaikuttavuusrahoitus yhteensä, €]]</f>
        <v>0.71838250841076623</v>
      </c>
      <c r="AY22" s="49">
        <f>Maakunt.[[#This Row],[Suoritusrahoitus, €]]/Maakunt.[[#This Row],[Perus-, suoritus- ja vaikuttavuusrahoitus yhteensä, €]]</f>
        <v>0.19364543416581792</v>
      </c>
      <c r="AZ22" s="16">
        <f>Maakunt.[[#This Row],[Työllistymiseen ja jatko-opintoihin siirtymiseen perustuva sekä opiskelija-palautteisiin perustuva, €]]/Maakunt.[[#This Row],[Perus-, suoritus- ja vaikuttavuusrahoitus yhteensä, €]]</f>
        <v>8.7972057423415864E-2</v>
      </c>
      <c r="BA22" s="16">
        <f>SUMIF(Ohj.lask.[Maakunta],Maakunt.[[#This Row],[Maakunta]],Ohj.lask.[Jaettava € 3])/Maakunt.[[#This Row],[Perus-, suoritus- ja vaikuttavuusrahoitus yhteensä, €]]</f>
        <v>6.563852060535727E-2</v>
      </c>
      <c r="BB22" s="16">
        <f>SUMIF(Ohj.lask.[Maakunta],Maakunt.[[#This Row],[Maakunta]],Ohj.lask.[Jaettava € 4])/Maakunt.[[#This Row],[Perus-, suoritus- ja vaikuttavuusrahoitus yhteensä, €]]</f>
        <v>5.9619832567643447E-3</v>
      </c>
      <c r="BC22" s="43">
        <f>SUMIF(Ohj.lask.[Maakunta],Maakunt.[[#This Row],[Maakunta]],Ohj.lask.[Jaettava € 5])/Maakunt.[[#This Row],[Perus-, suoritus- ja vaikuttavuusrahoitus yhteensä, €]]</f>
        <v>1.6371553561294241E-2</v>
      </c>
      <c r="BD22" s="18">
        <f>SUMIF(Vertailu[Maakunta],Maakunt.[[#This Row],[Maakunta]],Vertailu[Rahoitus ml. hark. kor. 
2020 ilman alv, €])</f>
        <v>599057426</v>
      </c>
      <c r="BE22" s="18">
        <f>SUMIF(Vertailu[Maakunta],Maakunt.[[#This Row],[Maakunta]],Vertailu[Rahoitus ml. hark. kor. 
2021 ilman alv, €])</f>
        <v>633985343</v>
      </c>
      <c r="BF22" s="18">
        <f>SUMIF(Vertailu[Maakunta],Maakunt.[[#This Row],[Maakunta]],Vertailu[Muutos, € 2])</f>
        <v>34927917</v>
      </c>
      <c r="BG22" s="43">
        <f>IFERROR(Maakunt.[[#This Row],[Muutos, € 2]]/Maakunt.[[#This Row],[Rahoitus ml. hark. kor. 
2020 ilman alv, €]],0)</f>
        <v>5.8304789297445418E-2</v>
      </c>
    </row>
    <row r="23" spans="1:59" x14ac:dyDescent="0.2">
      <c r="A23" s="22" t="s">
        <v>232</v>
      </c>
      <c r="B23" s="22">
        <f>COUNTIF(Ohj.lask.[Maakunta],Maakunt.[[#This Row],[Maakunta]])</f>
        <v>12</v>
      </c>
      <c r="C23" s="22">
        <f>COUNTIFS(Ohj.lask.[Maakunta],Maakunt.[[#This Row],[Maakunta]],Ohj.lask.[Omistajatyyppi],"=yksityinen")</f>
        <v>7</v>
      </c>
      <c r="D23" s="22">
        <f>COUNTIFS(Ohj.lask.[Maakunta],Maakunt.[[#This Row],[Maakunta]],Ohj.lask.[Omistajatyyppi],"=kunta")</f>
        <v>1</v>
      </c>
      <c r="E23" s="22">
        <f>COUNTIFS(Ohj.lask.[Maakunta],Maakunt.[[#This Row],[Maakunta]],Ohj.lask.[Omistajatyyppi],"=kuntayhtymä")</f>
        <v>4</v>
      </c>
      <c r="F23" s="18">
        <f>SUMIF(Ohj.lask.[Maakunta],Maakunt.[[#This Row],[Maakunta]],Ohj.lask.[Järjestämisluvan opisk.vuosien vähimmäismäärä])</f>
        <v>11771</v>
      </c>
      <c r="G23" s="17">
        <f>SUMIF(Ohj.lask.[Maakunta],Maakunt.[[#This Row],[Maakunta]],Ohj.lask.[Suoritepäätöksellä jaettavat opisk.vuodet (luvan ylittävä osuus)])</f>
        <v>1887</v>
      </c>
      <c r="H23" s="17">
        <f>SUMIF(Ohj.lask.[Maakunta],Maakunt.[[#This Row],[Maakunta]],Ohj.lask.[Tavoitteelliset opiskelija-vuodet])</f>
        <v>13658</v>
      </c>
      <c r="I23" s="80">
        <f>Maakunt.[[#This Row],[Painotetut opiskelija-vuodet]]/Maakunt.[[#This Row],[Tavoitteelliset opiskelija-vuodet]]</f>
        <v>1.0124176306926342</v>
      </c>
      <c r="J23" s="81">
        <f>SUMIF(Ohj.lask.[Maakunta],Maakunt.[[#This Row],[Maakunta]],Ohj.lask.[Painotetut opiskelija-vuodet])</f>
        <v>13827.599999999999</v>
      </c>
      <c r="K23" s="16">
        <f>SUMIF(Ohj.lask.[Maakunta],Maakunt.[[#This Row],[Maakunta]],Ohj.lask.[%-osuus 1])</f>
        <v>6.7527074119798136E-2</v>
      </c>
      <c r="L23" s="17">
        <f>SUMIF(Ohj.lask.[Maakunta],Maakunt.[[#This Row],[Maakunta]],Ohj.lask.[Jaettava € 1])</f>
        <v>85048391</v>
      </c>
      <c r="M23" s="18">
        <f>SUMIF(Ohj.lask.[Maakunta],Maakunt.[[#This Row],[Maakunta]],Ohj.lask.[Painotetut pisteet 2])</f>
        <v>1198588.7999999998</v>
      </c>
      <c r="N23" s="16">
        <f>SUMIF(Ohj.lask.[Maakunta],Maakunt.[[#This Row],[Maakunta]],Ohj.lask.[%-osuus 2])</f>
        <v>7.6944677415509269E-2</v>
      </c>
      <c r="O23" s="17">
        <f>SUMIF(Ohj.lask.[Maakunta],Maakunt.[[#This Row],[Maakunta]],Ohj.lask.[Jaettava € 2])</f>
        <v>28252702</v>
      </c>
      <c r="P23" s="18">
        <f>SUMIF(Ohj.lask.[Maakunta],Maakunt.[[#This Row],[Maakunta]],Ohj.lask.[Painotetut pisteet 3])</f>
        <v>15331.8</v>
      </c>
      <c r="Q23" s="16">
        <f>SUMIF(Ohj.lask.[Maakunta],Maakunt.[[#This Row],[Maakunta]],Ohj.lask.[%-osuus 3])</f>
        <v>7.7035356232875746E-2</v>
      </c>
      <c r="R23" s="17">
        <f>SUMIF(Ohj.lask.[Maakunta],Maakunt.[[#This Row],[Maakunta]],Ohj.lask.[Jaettava € 3])</f>
        <v>10607247</v>
      </c>
      <c r="S23" s="18">
        <f>SUMIF(Ohj.lask.[Maakunta],Maakunt.[[#This Row],[Maakunta]],Ohj.lask.[Painotetut pisteet 4])</f>
        <v>130020.40000000001</v>
      </c>
      <c r="T23" s="16">
        <f>SUMIF(Ohj.lask.[Maakunta],Maakunt.[[#This Row],[Maakunta]],Ohj.lask.[%-osuus 4])</f>
        <v>7.8989122170620721E-2</v>
      </c>
      <c r="U23" s="17">
        <f>SUMIF(Ohj.lask.[Maakunta],Maakunt.[[#This Row],[Maakunta]],Ohj.lask.[Jaettava € 4])</f>
        <v>906357</v>
      </c>
      <c r="V23" s="18">
        <f>SUMIF(Ohj.lask.[Maakunta],Maakunt.[[#This Row],[Maakunta]],Ohj.lask.[Painotetut pisteet 5])</f>
        <v>653026</v>
      </c>
      <c r="W23" s="16">
        <f>SUMIF(Ohj.lask.[Maakunta],Maakunt.[[#This Row],[Maakunta]],Ohj.lask.[%-osuus 5])</f>
        <v>7.5744570803576855E-2</v>
      </c>
      <c r="X23" s="17">
        <f>SUMIF(Ohj.lask.[Maakunta],Maakunt.[[#This Row],[Maakunta]],Ohj.lask.[Jaettava € 5])</f>
        <v>2607379</v>
      </c>
      <c r="Y23" s="19">
        <f>SUMIF(Ohj.lask.[Maakunta],Maakunt.[[#This Row],[Maakunta]],Ohj.lask.[%-osuus 6])</f>
        <v>7.0389447702351171E-2</v>
      </c>
      <c r="Z23" s="17">
        <f>SUMIF(Ohj.lask.[Maakunta],Maakunt.[[#This Row],[Maakunta]],Ohj.lask.[Jaettava € 6])</f>
        <v>127422076</v>
      </c>
      <c r="AA23" s="18">
        <f>SUMIF(Ohj.lask.[Maakunta],Maakunt.[[#This Row],[Maakunta]],Ohj.lask.[Hakemus, € 1])</f>
        <v>250000</v>
      </c>
      <c r="AB23" s="17">
        <f>SUMIF(Ohj.lask.[Maakunta],Maakunt.[[#This Row],[Maakunta]],Ohj.lask.[Päätös, € 1])</f>
        <v>0</v>
      </c>
      <c r="AC23" s="18">
        <f>SUMIF(Ohj.lask.[Maakunta],Maakunt.[[#This Row],[Maakunta]],Ohj.lask.[Hakemus, € 2])</f>
        <v>0</v>
      </c>
      <c r="AD23" s="17">
        <f>SUMIF(Ohj.lask.[Maakunta],Maakunt.[[#This Row],[Maakunta]],Ohj.lask.[Päätös, € 2])</f>
        <v>0</v>
      </c>
      <c r="AE23" s="18">
        <f>SUMIF(Ohj.lask.[Maakunta],Maakunt.[[#This Row],[Maakunta]],Ohj.lask.[Hakemus, € 3])</f>
        <v>0</v>
      </c>
      <c r="AF23" s="17">
        <f>SUMIF(Ohj.lask.[Maakunta],Maakunt.[[#This Row],[Maakunta]],Ohj.lask.[Päätös, € 3])</f>
        <v>0</v>
      </c>
      <c r="AG23" s="18">
        <f>SUMIF(Ohj.lask.[Maakunta],Maakunt.[[#This Row],[Maakunta]],Ohj.lask.[Hakemus, € 4])</f>
        <v>50000</v>
      </c>
      <c r="AH23" s="17">
        <f>SUMIF(Ohj.lask.[Maakunta],Maakunt.[[#This Row],[Maakunta]],Ohj.lask.[Päätös, € 4])</f>
        <v>0</v>
      </c>
      <c r="AI23" s="18">
        <f>SUMIF(Ohj.lask.[Maakunta],Maakunt.[[#This Row],[Maakunta]],Ohj.lask.[Hakemus, € 5])</f>
        <v>0</v>
      </c>
      <c r="AJ23" s="23">
        <f>SUMIF(Ohj.lask.[Maakunta],Maakunt.[[#This Row],[Maakunta]],Ohj.lask.[Päätös, € 5])</f>
        <v>170000</v>
      </c>
      <c r="AK23" s="18">
        <f>SUMIF(Ohj.lask.[Maakunta],Maakunt.[[#This Row],[Maakunta]],Ohj.lask.[Hakemus, € 6])</f>
        <v>0</v>
      </c>
      <c r="AL23" s="17">
        <f>SUMIF(Ohj.lask.[Maakunta],Maakunt.[[#This Row],[Maakunta]],Ohj.lask.[Päätös, € 6])</f>
        <v>0</v>
      </c>
      <c r="AM23" s="18">
        <f>SUMIF(Ohj.lask.[Maakunta],Maakunt.[[#This Row],[Maakunta]],Ohj.lask.[Hakemus, € 7])</f>
        <v>209000</v>
      </c>
      <c r="AN23" s="23">
        <f>SUMIF(Ohj.lask.[Maakunta],Maakunt.[[#This Row],[Maakunta]],Ohj.lask.[Päätös, € 7])</f>
        <v>30000</v>
      </c>
      <c r="AO23" s="17">
        <f>SUMIF(Ohj.lask.[Maakunta],Maakunt.[[#This Row],[Maakunta]],Ohj.lask.[Hakemus, € 8])</f>
        <v>80000</v>
      </c>
      <c r="AP23" s="17">
        <f>SUMIF(Ohj.lask.[Maakunta],Maakunt.[[#This Row],[Maakunta]],Ohj.lask.[Päätös, € 8])</f>
        <v>32000</v>
      </c>
      <c r="AQ23" s="18">
        <f>Maakunt.[[#This Row],[Hakemus, € 1]]+Maakunt.[[#This Row],[Hakemus, € 2]]+Maakunt.[[#This Row],[Hakemus, € 3]]+Maakunt.[[#This Row],[Hakemus, € 4]]+Maakunt.[[#This Row],[Hakemus, € 5]]+Maakunt.[[#This Row],[Hakemus, € 6]]+Maakunt.[[#This Row],[Hakemus, € 7]]+Maakunt.[[#This Row],[Hakemus, € 8]]</f>
        <v>589000</v>
      </c>
      <c r="AR23" s="17">
        <f>Maakunt.[[#This Row],[Päätös, € 1]]+Maakunt.[[#This Row],[Päätös, € 2]]+Maakunt.[[#This Row],[Päätös, € 3]]+Maakunt.[[#This Row],[Päätös, € 4]]+Maakunt.[[#This Row],[Päätös, € 5]]+Maakunt.[[#This Row],[Päätös, € 6]]+Maakunt.[[#This Row],[Päätös, € 7]]+Maakunt.[[#This Row],[Päätös, € 8]]</f>
        <v>232000</v>
      </c>
      <c r="AS23" s="18">
        <f>SUMIF(Ohj.lask.[Maakunta],Maakunt.[[#This Row],[Maakunta]],Ohj.lask.[Suoriteperusteinen (opiskelijavuosiin perustuva) sekä harkinnanvarainen korotus, €])</f>
        <v>85280391</v>
      </c>
      <c r="AT23" s="18">
        <f>SUMIF(Ohj.lask.[Maakunta],Maakunt.[[#This Row],[Maakunta]],Ohj.lask.[Suoritusrahoitus, €])</f>
        <v>28252702</v>
      </c>
      <c r="AU23" s="18">
        <f>SUMIF(Ohj.lask.[Maakunta],Maakunt.[[#This Row],[Maakunta]],Ohj.lask.[Työllistymiseen ja jatko-opintoihin siirtymiseen perustuva sekä opiskelija-palautteisiin perustuva, €])</f>
        <v>14120983</v>
      </c>
      <c r="AV23" s="42">
        <f>SUMIF(Ohj.lask.[Maakunta],Maakunt.[[#This Row],[Maakunta]],Ohj.lask.[Perus-, suoritus- ja vaikuttavuusrahoitus yhteensä, €])</f>
        <v>127654076</v>
      </c>
      <c r="AW23" s="19">
        <f>Maakunt.[[#This Row],[Jaettava € 1]]/Maakunt.[[#This Row],[Perus-, suoritus- ja vaikuttavuusrahoitus yhteensä, €]]</f>
        <v>0.66624109205882309</v>
      </c>
      <c r="AX23" s="173">
        <f>Maakunt.[[#This Row],[Suoriteperusteinen (opiskelijavuosiin perustuva) sekä harkinnanvarainen korotus, €]]/Maakunt.[[#This Row],[Perus-, suoritus- ja vaikuttavuusrahoitus yhteensä, €]]</f>
        <v>0.66805850367049779</v>
      </c>
      <c r="AY23" s="49">
        <f>Maakunt.[[#This Row],[Suoritusrahoitus, €]]/Maakunt.[[#This Row],[Perus-, suoritus- ja vaikuttavuusrahoitus yhteensä, €]]</f>
        <v>0.22132236498268962</v>
      </c>
      <c r="AZ23" s="16">
        <f>Maakunt.[[#This Row],[Työllistymiseen ja jatko-opintoihin siirtymiseen perustuva sekä opiskelija-palautteisiin perustuva, €]]/Maakunt.[[#This Row],[Perus-, suoritus- ja vaikuttavuusrahoitus yhteensä, €]]</f>
        <v>0.11061913134681262</v>
      </c>
      <c r="BA23" s="16">
        <f>SUMIF(Ohj.lask.[Maakunta],Maakunt.[[#This Row],[Maakunta]],Ohj.lask.[Jaettava € 3])/Maakunt.[[#This Row],[Perus-, suoritus- ja vaikuttavuusrahoitus yhteensä, €]]</f>
        <v>8.3093680455608804E-2</v>
      </c>
      <c r="BB23" s="16">
        <f>SUMIF(Ohj.lask.[Maakunta],Maakunt.[[#This Row],[Maakunta]],Ohj.lask.[Jaettava € 4])/Maakunt.[[#This Row],[Perus-, suoritus- ja vaikuttavuusrahoitus yhteensä, €]]</f>
        <v>7.1001023108733328E-3</v>
      </c>
      <c r="BC23" s="43">
        <f>SUMIF(Ohj.lask.[Maakunta],Maakunt.[[#This Row],[Maakunta]],Ohj.lask.[Jaettava € 5])/Maakunt.[[#This Row],[Perus-, suoritus- ja vaikuttavuusrahoitus yhteensä, €]]</f>
        <v>2.0425348580330488E-2</v>
      </c>
      <c r="BD23" s="18">
        <f>SUMIF(Vertailu[Maakunta],Maakunt.[[#This Row],[Maakunta]],Vertailu[Rahoitus ml. hark. kor. 
2020 ilman alv, €])</f>
        <v>123471511</v>
      </c>
      <c r="BE23" s="18">
        <f>SUMIF(Vertailu[Maakunta],Maakunt.[[#This Row],[Maakunta]],Vertailu[Rahoitus ml. hark. kor. 
2021 ilman alv, €])</f>
        <v>127654076</v>
      </c>
      <c r="BF23" s="18">
        <f>SUMIF(Vertailu[Maakunta],Maakunt.[[#This Row],[Maakunta]],Vertailu[Muutos, € 2])</f>
        <v>4182565</v>
      </c>
      <c r="BG23" s="43">
        <f>IFERROR(Maakunt.[[#This Row],[Muutos, € 2]]/Maakunt.[[#This Row],[Rahoitus ml. hark. kor. 
2020 ilman alv, €]],0)</f>
        <v>3.3874737306810801E-2</v>
      </c>
    </row>
    <row r="24" spans="1:59" s="126" customFormat="1" x14ac:dyDescent="0.2">
      <c r="A24" s="185" t="s">
        <v>412</v>
      </c>
      <c r="B24" s="185">
        <f>SUBTOTAL(109,Maakunt.[Järjestäjien kokonais-määrä])</f>
        <v>149</v>
      </c>
      <c r="C24" s="185">
        <f>SUBTOTAL(109,Maakunt.[Yksityinen])</f>
        <v>107</v>
      </c>
      <c r="D24" s="185">
        <f>SUBTOTAL(109,Maakunt.[Kunta])</f>
        <v>9</v>
      </c>
      <c r="E24" s="185">
        <f>SUBTOTAL(109,Maakunt.[Kunta-yhtymä])</f>
        <v>33</v>
      </c>
      <c r="F24" s="220">
        <f>SUBTOTAL(109,Maakunt.[Järjestämisluvan opisk.vuosien vähimmäismäärä])</f>
        <v>157930</v>
      </c>
      <c r="G24" s="109">
        <f>SUBTOTAL(109,Maakunt.[Suoritepäätöksellä jaettavat opisk.vuodet (luvan ylittävä osuus)])</f>
        <v>21527</v>
      </c>
      <c r="H24" s="109">
        <f>SUBTOTAL(109,Maakunt.[Tavoitteelliset opiskelija-vuodet])</f>
        <v>179457</v>
      </c>
      <c r="I24" s="181">
        <f>Maakunt.[[#Totals],[Painotetut opiskelija-vuodet]]/Maakunt.[[#Totals],[Tavoitteelliset opiskelija-vuodet]]</f>
        <v>1.1410599753701443</v>
      </c>
      <c r="J24" s="109">
        <f>SUBTOTAL(109,Maakunt.[Painotetut opiskelija-vuodet])</f>
        <v>204771.19999999998</v>
      </c>
      <c r="K24" s="218">
        <f>SUBTOTAL(109,Maakunt.[%-osuus 1])</f>
        <v>1.0000000000000004</v>
      </c>
      <c r="L24" s="110">
        <f>SUBTOTAL(109,Maakunt.[Jaettava € 1])</f>
        <v>1259471007</v>
      </c>
      <c r="M24" s="109">
        <f>SUBTOTAL(109,Maakunt.[Painotetut pisteet 2])</f>
        <v>15577280.199999999</v>
      </c>
      <c r="N24" s="218">
        <f>SUBTOTAL(109,Maakunt.[%-osuus 2])</f>
        <v>0.99999999999999967</v>
      </c>
      <c r="O24" s="109">
        <f>SUBTOTAL(109,Maakunt.[Jaettava € 2])</f>
        <v>367182000</v>
      </c>
      <c r="P24" s="220">
        <f>SUBTOTAL(109,Maakunt.[Painotetut pisteet 3])</f>
        <v>199022.89999999997</v>
      </c>
      <c r="Q24" s="218">
        <f>SUBTOTAL(109,Maakunt.[%-osuus 3])</f>
        <v>1.0000000000000004</v>
      </c>
      <c r="R24" s="110">
        <f>SUBTOTAL(109,Maakunt.[Jaettava € 3])</f>
        <v>137693247</v>
      </c>
      <c r="S24" s="109">
        <f>SUBTOTAL(109,Maakunt.[Painotetut pisteet 4])</f>
        <v>1646054.5</v>
      </c>
      <c r="T24" s="218">
        <f>SUBTOTAL(109,Maakunt.[%-osuus 4])</f>
        <v>1</v>
      </c>
      <c r="U24" s="109">
        <f>SUBTOTAL(109,Maakunt.[Jaettava € 4])</f>
        <v>11474436</v>
      </c>
      <c r="V24" s="220">
        <f>SUBTOTAL(109,Maakunt.[Painotetut pisteet 5])</f>
        <v>8621423.1999999993</v>
      </c>
      <c r="W24" s="218">
        <f>SUBTOTAL(109,Maakunt.[%-osuus 5])</f>
        <v>1.0000000000000002</v>
      </c>
      <c r="X24" s="110">
        <f>SUBTOTAL(109,Maakunt.[Jaettava € 5])</f>
        <v>34423319</v>
      </c>
      <c r="Y24" s="218">
        <f>SUBTOTAL(109,Maakunt.[%-osuus 6])</f>
        <v>1</v>
      </c>
      <c r="Z24" s="109">
        <f>SUBTOTAL(109,Maakunt.[Jaettava € 6])</f>
        <v>1810244009</v>
      </c>
      <c r="AA24" s="220">
        <f>SUBTOTAL(109,Maakunt.[Hakemus, € 1])</f>
        <v>16957491</v>
      </c>
      <c r="AB24" s="110">
        <f>SUBTOTAL(109,Maakunt.[Päätös, € 1])</f>
        <v>8405000</v>
      </c>
      <c r="AC24" s="109">
        <f>SUBTOTAL(109,Maakunt.[Hakemus, € 2])</f>
        <v>2392700</v>
      </c>
      <c r="AD24" s="109">
        <f>SUBTOTAL(109,Maakunt.[Päätös, € 2])</f>
        <v>50000</v>
      </c>
      <c r="AE24" s="220">
        <f>SUBTOTAL(109,Maakunt.[Hakemus, € 3])</f>
        <v>5877000</v>
      </c>
      <c r="AF24" s="110">
        <f>SUBTOTAL(109,Maakunt.[Päätös, € 3])</f>
        <v>45000</v>
      </c>
      <c r="AG24" s="109">
        <f>SUBTOTAL(109,Maakunt.[Hakemus, € 4])</f>
        <v>10028126</v>
      </c>
      <c r="AH24" s="109">
        <f>SUBTOTAL(109,Maakunt.[Päätös, € 4])</f>
        <v>0</v>
      </c>
      <c r="AI24" s="220">
        <f>SUBTOTAL(109,Maakunt.[Hakemus, € 5])</f>
        <v>1881700</v>
      </c>
      <c r="AJ24" s="110">
        <f>SUBTOTAL(109,Maakunt.[Päätös, € 5])</f>
        <v>1165000</v>
      </c>
      <c r="AK24" s="109">
        <f>SUBTOTAL(109,Maakunt.[Hakemus, € 4])</f>
        <v>10028126</v>
      </c>
      <c r="AL24" s="109">
        <f>SUBTOTAL(109,Maakunt.[Päätös, € 4])</f>
        <v>0</v>
      </c>
      <c r="AM24" s="220">
        <f>SUBTOTAL(109,Maakunt.[Hakemus, € 5])</f>
        <v>1881700</v>
      </c>
      <c r="AN24" s="110">
        <f>SUBTOTAL(109,Maakunt.[Päätös, € 5])</f>
        <v>1165000</v>
      </c>
      <c r="AO24" s="109">
        <f>SUBTOTAL(109,Maakunt.[Hakemus, € 8])</f>
        <v>1223600</v>
      </c>
      <c r="AP24" s="109">
        <f>SUBTOTAL(109,Maakunt.[Päätös, € 8])</f>
        <v>500000</v>
      </c>
      <c r="AQ24" s="220">
        <f>SUBTOTAL(109,Maakunt.[Hakemus, € 9])</f>
        <v>50890325</v>
      </c>
      <c r="AR24" s="110">
        <f>SUBTOTAL(109,Maakunt.[Päätös, € 9])</f>
        <v>12665000</v>
      </c>
      <c r="AS24" s="109">
        <f>SUBTOTAL(109,Maakunt.[Suoriteperusteinen (opiskelijavuosiin perustuva) sekä harkinnanvarainen korotus, €])</f>
        <v>1272136007</v>
      </c>
      <c r="AT24" s="221">
        <f>SUBTOTAL(109,Maakunt.[Suoritusrahoitus, €])</f>
        <v>367182000</v>
      </c>
      <c r="AU24" s="109">
        <f>SUBTOTAL(109,Maakunt.[Työllistymiseen ja jatko-opintoihin siirtymiseen perustuva sekä opiskelija-palautteisiin perustuva, €])</f>
        <v>183591002</v>
      </c>
      <c r="AV24" s="221">
        <f>SUBTOTAL(109,Maakunt.[Perus-, suoritus- ja vaikuttavuusrahoitus yhteensä, €])</f>
        <v>1822909009</v>
      </c>
      <c r="AW24" s="219">
        <f>Maakunt.[[#Totals],[Jaettava € 1]]/Maakunt.[[#Totals],[Perus-, suoritus- ja vaikuttavuusrahoitus yhteensä, €]]</f>
        <v>0.69091271192461368</v>
      </c>
      <c r="AX24" s="226">
        <f>Maakunt.[[#Totals],[Suoriteperusteinen (opiskelijavuosiin perustuva) sekä harkinnanvarainen korotus, €]]/Maakunt.[[#Totals],[Perus-, suoritus- ja vaikuttavuusrahoitus yhteensä, €]]</f>
        <v>0.69786039825315271</v>
      </c>
      <c r="AY24" s="218">
        <f>Maakunt.[[#Totals],[Suoritusrahoitus, €]]/Maakunt.[[#Totals],[Perus-, suoritus- ja vaikuttavuusrahoitus yhteensä, €]]</f>
        <v>0.2014264004331332</v>
      </c>
      <c r="AZ24" s="219">
        <f>Maakunt.[[#Totals],[Työllistymiseen ja jatko-opintoihin siirtymiseen perustuva sekä opiskelija-palautteisiin perustuva, €]]/Maakunt.[[#Totals],[Perus-, suoritus- ja vaikuttavuusrahoitus yhteensä, €]]</f>
        <v>0.10071320131371406</v>
      </c>
      <c r="BA24" s="218">
        <f>Ohj.lask.[[#Totals],[Jaettava € 3]]/Ohj.lask.[[#Totals],[Perus-, suoritus- ja vaikuttavuusrahoitus yhteensä, €]]</f>
        <v>7.5534898516703752E-2</v>
      </c>
      <c r="BB24" s="218">
        <f>Ohj.lask.[[#Totals],[Jaettava € 4]]/Ohj.lask.[[#Totals],[Perus-, suoritus- ja vaikuttavuusrahoitus yhteensä, €]]</f>
        <v>6.2945741906748126E-3</v>
      </c>
      <c r="BC24" s="226">
        <f>Ohj.lask.[[#Totals],[Jaettava € 5]]/Ohj.lask.[[#Totals],[Perus-, suoritus- ja vaikuttavuusrahoitus yhteensä, €]]</f>
        <v>1.8883728606335502E-2</v>
      </c>
      <c r="BD24" s="220">
        <f>SUBTOTAL(109,Maakunt.[Rahoitus ml. hark. kor. 
2020 ilman alv, €])</f>
        <v>1758336497</v>
      </c>
      <c r="BE24" s="221">
        <f>SUBTOTAL(109,Maakunt.[Rahoitus ml. hark. kor. 
2021 ilman alv, €])</f>
        <v>1822909009</v>
      </c>
      <c r="BF24" s="220">
        <f>SUBTOTAL(109,Maakunt.[Muutos, € 2])</f>
        <v>64572512</v>
      </c>
      <c r="BG24" s="226">
        <f>IFERROR(Maakunt.[[#Totals],[Muutos, € 2]]/Maakunt.[[#Totals],[Rahoitus ml. hark. kor. 
2020 ilman alv, €]],0)</f>
        <v>3.6723637432408932E-2</v>
      </c>
    </row>
    <row r="25" spans="1:59" x14ac:dyDescent="0.2">
      <c r="A25" s="97" t="s">
        <v>421</v>
      </c>
    </row>
    <row r="26" spans="1:59" x14ac:dyDescent="0.2">
      <c r="B26" s="98"/>
      <c r="C26" s="98"/>
      <c r="D26" s="98"/>
    </row>
    <row r="27" spans="1:59" x14ac:dyDescent="0.2">
      <c r="A27" s="98"/>
      <c r="B27" s="98"/>
      <c r="C27" s="98"/>
      <c r="D27" s="98"/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S27" s="11"/>
      <c r="AT27" s="11"/>
      <c r="AU27" s="11"/>
      <c r="AV27" s="9"/>
      <c r="AW27" s="9"/>
      <c r="AX27" s="9"/>
      <c r="AY27" s="9"/>
      <c r="AZ27" s="9"/>
    </row>
    <row r="28" spans="1:59" ht="15" x14ac:dyDescent="0.25">
      <c r="A28" s="9"/>
      <c r="B28" s="9"/>
      <c r="C28" s="9"/>
      <c r="D28" s="9"/>
      <c r="E28" s="9"/>
      <c r="F28" s="9"/>
      <c r="G28" s="10"/>
      <c r="H28" s="10"/>
      <c r="I28" s="9"/>
      <c r="J28" s="9"/>
      <c r="K28" s="9"/>
      <c r="L28" s="9"/>
      <c r="M28" s="9"/>
      <c r="N28"/>
      <c r="O28"/>
      <c r="P28"/>
      <c r="Q28"/>
      <c r="R28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/>
      <c r="AH28"/>
      <c r="AI28"/>
      <c r="AJ28"/>
      <c r="AK28" s="201"/>
      <c r="AL28" s="201"/>
      <c r="AM28" s="201"/>
      <c r="AN28" s="201"/>
      <c r="AO28"/>
      <c r="AP28"/>
      <c r="AQ28" s="9"/>
      <c r="AR28" s="41"/>
      <c r="AS28" s="9"/>
      <c r="AT28" s="41"/>
      <c r="AU28" s="17"/>
      <c r="AV28" s="17"/>
    </row>
  </sheetData>
  <mergeCells count="32">
    <mergeCell ref="M3:O3"/>
    <mergeCell ref="F3:L3"/>
    <mergeCell ref="AQ3:AR4"/>
    <mergeCell ref="Y3:Z3"/>
    <mergeCell ref="AZ4:BC4"/>
    <mergeCell ref="AV3:AV4"/>
    <mergeCell ref="AT3:AT4"/>
    <mergeCell ref="AU3:AU4"/>
    <mergeCell ref="AS3:AS4"/>
    <mergeCell ref="AK3:AL4"/>
    <mergeCell ref="AM3:AN4"/>
    <mergeCell ref="P4:R4"/>
    <mergeCell ref="S4:U4"/>
    <mergeCell ref="F4:L4"/>
    <mergeCell ref="M4:O4"/>
    <mergeCell ref="V4:X4"/>
    <mergeCell ref="AA2:AF2"/>
    <mergeCell ref="A2:B4"/>
    <mergeCell ref="BD2:BG2"/>
    <mergeCell ref="BD3:BG4"/>
    <mergeCell ref="P3:X3"/>
    <mergeCell ref="AA3:AB4"/>
    <mergeCell ref="AC3:AD4"/>
    <mergeCell ref="AE3:AF4"/>
    <mergeCell ref="AG3:AH4"/>
    <mergeCell ref="AS2:AV2"/>
    <mergeCell ref="AW4:AX4"/>
    <mergeCell ref="AW2:BC2"/>
    <mergeCell ref="Y4:Z4"/>
    <mergeCell ref="F2:I2"/>
    <mergeCell ref="AI3:AJ4"/>
    <mergeCell ref="AO3:AP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1">
    <tabColor theme="9" tint="0.59999389629810485"/>
  </sheetPr>
  <dimension ref="A1:T153"/>
  <sheetViews>
    <sheetView zoomScale="90" zoomScaleNormal="90" workbookViewId="0">
      <pane xSplit="2" ySplit="3" topLeftCell="C4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1" max="1" width="11.7109375" customWidth="1"/>
    <col min="2" max="2" width="45.7109375" customWidth="1"/>
    <col min="3" max="20" width="16.85546875" customWidth="1"/>
  </cols>
  <sheetData>
    <row r="1" spans="1:20" ht="19.5" x14ac:dyDescent="0.3">
      <c r="A1" s="262" t="s">
        <v>633</v>
      </c>
      <c r="B1" s="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20" x14ac:dyDescent="0.25">
      <c r="A2" s="12" t="s">
        <v>628</v>
      </c>
      <c r="B2" s="100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0" ht="96" customHeight="1" x14ac:dyDescent="0.25">
      <c r="A3" s="44" t="s">
        <v>12</v>
      </c>
      <c r="B3" s="44"/>
      <c r="C3" s="198" t="s">
        <v>418</v>
      </c>
      <c r="D3" s="198" t="s">
        <v>419</v>
      </c>
      <c r="E3" s="198" t="s">
        <v>420</v>
      </c>
      <c r="F3" s="198" t="s">
        <v>150</v>
      </c>
      <c r="G3" s="198" t="s">
        <v>151</v>
      </c>
      <c r="H3" s="198" t="s">
        <v>152</v>
      </c>
      <c r="I3" s="198" t="s">
        <v>153</v>
      </c>
      <c r="J3" s="198" t="s">
        <v>154</v>
      </c>
      <c r="K3" s="198" t="s">
        <v>538</v>
      </c>
      <c r="L3" s="198" t="s">
        <v>155</v>
      </c>
      <c r="M3" s="198" t="s">
        <v>539</v>
      </c>
      <c r="N3" s="198" t="s">
        <v>156</v>
      </c>
      <c r="O3" s="198" t="s">
        <v>540</v>
      </c>
      <c r="P3" s="198" t="s">
        <v>157</v>
      </c>
      <c r="Q3" s="198" t="s">
        <v>158</v>
      </c>
      <c r="R3" s="198" t="s">
        <v>159</v>
      </c>
      <c r="S3" s="198" t="s">
        <v>160</v>
      </c>
      <c r="T3" s="198" t="s">
        <v>161</v>
      </c>
    </row>
    <row r="4" spans="1:20" x14ac:dyDescent="0.25">
      <c r="A4" s="192" t="s">
        <v>340</v>
      </c>
      <c r="B4" s="120" t="s">
        <v>56</v>
      </c>
      <c r="C4" s="194">
        <v>85.006575342465922</v>
      </c>
      <c r="D4" s="194">
        <v>73.433972602739885</v>
      </c>
      <c r="E4" s="194">
        <v>11.572602739726037</v>
      </c>
      <c r="F4" s="194">
        <v>82.161550684931726</v>
      </c>
      <c r="G4" s="194"/>
      <c r="H4" s="194"/>
      <c r="I4" s="194"/>
      <c r="J4" s="194">
        <v>9.9524383561643823</v>
      </c>
      <c r="K4" s="194"/>
      <c r="L4" s="194"/>
      <c r="M4" s="194"/>
      <c r="N4" s="194"/>
      <c r="O4" s="194"/>
      <c r="P4" s="194"/>
      <c r="Q4" s="194"/>
      <c r="R4" s="194"/>
      <c r="S4" s="194">
        <v>92.113989041096104</v>
      </c>
      <c r="T4" s="195">
        <v>1.0836101639196327</v>
      </c>
    </row>
    <row r="5" spans="1:20" x14ac:dyDescent="0.25">
      <c r="A5" s="192" t="s">
        <v>373</v>
      </c>
      <c r="B5" s="120" t="s">
        <v>173</v>
      </c>
      <c r="C5" s="194">
        <v>106.74794520547998</v>
      </c>
      <c r="D5" s="194"/>
      <c r="E5" s="194">
        <v>106.74794520547998</v>
      </c>
      <c r="F5" s="194"/>
      <c r="G5" s="194"/>
      <c r="H5" s="194"/>
      <c r="I5" s="194"/>
      <c r="J5" s="194">
        <v>91.803232876711604</v>
      </c>
      <c r="K5" s="194"/>
      <c r="L5" s="194"/>
      <c r="M5" s="194"/>
      <c r="N5" s="194"/>
      <c r="O5" s="194"/>
      <c r="P5" s="194">
        <v>-37.881232876711927</v>
      </c>
      <c r="Q5" s="194"/>
      <c r="R5" s="194"/>
      <c r="S5" s="194">
        <v>53.921999999999677</v>
      </c>
      <c r="T5" s="195">
        <v>0.50513384492979974</v>
      </c>
    </row>
    <row r="6" spans="1:20" x14ac:dyDescent="0.25">
      <c r="A6" s="192" t="s">
        <v>301</v>
      </c>
      <c r="B6" s="120" t="s">
        <v>183</v>
      </c>
      <c r="C6" s="194">
        <v>116.34520547945391</v>
      </c>
      <c r="D6" s="194"/>
      <c r="E6" s="194">
        <v>116.34520547945391</v>
      </c>
      <c r="F6" s="194"/>
      <c r="G6" s="194"/>
      <c r="H6" s="194"/>
      <c r="I6" s="194"/>
      <c r="J6" s="194">
        <v>100.05687671232602</v>
      </c>
      <c r="K6" s="194"/>
      <c r="L6" s="194"/>
      <c r="M6" s="194"/>
      <c r="N6" s="194"/>
      <c r="O6" s="194"/>
      <c r="P6" s="194">
        <v>-50.028438356163008</v>
      </c>
      <c r="Q6" s="194"/>
      <c r="R6" s="194"/>
      <c r="S6" s="194">
        <v>50.028438356163008</v>
      </c>
      <c r="T6" s="195">
        <v>0.42999999999998134</v>
      </c>
    </row>
    <row r="7" spans="1:20" x14ac:dyDescent="0.25">
      <c r="A7" s="192" t="s">
        <v>264</v>
      </c>
      <c r="B7" s="120" t="s">
        <v>116</v>
      </c>
      <c r="C7" s="194">
        <v>29.328767123287683</v>
      </c>
      <c r="D7" s="194">
        <v>29.328767123287683</v>
      </c>
      <c r="E7" s="194"/>
      <c r="F7" s="194">
        <v>36.074383561643849</v>
      </c>
      <c r="G7" s="194"/>
      <c r="H7" s="194"/>
      <c r="I7" s="194"/>
      <c r="J7" s="194"/>
      <c r="K7" s="194">
        <v>0.41638356164383561</v>
      </c>
      <c r="L7" s="194"/>
      <c r="M7" s="194"/>
      <c r="N7" s="194"/>
      <c r="O7" s="194"/>
      <c r="P7" s="194"/>
      <c r="Q7" s="194"/>
      <c r="R7" s="194"/>
      <c r="S7" s="194">
        <v>36.074383561643849</v>
      </c>
      <c r="T7" s="195">
        <v>1.23</v>
      </c>
    </row>
    <row r="8" spans="1:20" x14ac:dyDescent="0.25">
      <c r="A8" s="192" t="s">
        <v>229</v>
      </c>
      <c r="B8" s="120" t="s">
        <v>140</v>
      </c>
      <c r="C8" s="194">
        <v>3652.6197260275458</v>
      </c>
      <c r="D8" s="194">
        <v>3652.6197260275458</v>
      </c>
      <c r="E8" s="194"/>
      <c r="F8" s="194">
        <v>3159.699758904133</v>
      </c>
      <c r="G8" s="194">
        <v>370.49728416437773</v>
      </c>
      <c r="H8" s="194">
        <v>175.06405479452081</v>
      </c>
      <c r="I8" s="194">
        <v>1.4524931506849312</v>
      </c>
      <c r="J8" s="194"/>
      <c r="K8" s="194">
        <v>11.067945205479459</v>
      </c>
      <c r="L8" s="194">
        <v>152.47972602739699</v>
      </c>
      <c r="M8" s="194">
        <v>152.47972602739699</v>
      </c>
      <c r="N8" s="194"/>
      <c r="O8" s="194"/>
      <c r="P8" s="194"/>
      <c r="Q8" s="194">
        <v>9.4691013698630346</v>
      </c>
      <c r="R8" s="194"/>
      <c r="S8" s="194">
        <v>3868.6624184109764</v>
      </c>
      <c r="T8" s="195">
        <v>1.0591473267375586</v>
      </c>
    </row>
    <row r="9" spans="1:20" x14ac:dyDescent="0.25">
      <c r="A9" s="192" t="s">
        <v>335</v>
      </c>
      <c r="B9" s="120" t="s">
        <v>64</v>
      </c>
      <c r="C9" s="194">
        <v>114.50027397260281</v>
      </c>
      <c r="D9" s="194">
        <v>114.50027397260281</v>
      </c>
      <c r="E9" s="194"/>
      <c r="F9" s="194">
        <v>154.86322191780943</v>
      </c>
      <c r="G9" s="194">
        <v>10.852228109589053</v>
      </c>
      <c r="H9" s="194"/>
      <c r="I9" s="194"/>
      <c r="J9" s="194"/>
      <c r="K9" s="194">
        <v>6.2465753424657535E-3</v>
      </c>
      <c r="L9" s="194">
        <v>1.2109589041095887</v>
      </c>
      <c r="M9" s="194">
        <v>1.2109589041095887</v>
      </c>
      <c r="N9" s="194">
        <v>30.028849315068438</v>
      </c>
      <c r="O9" s="194">
        <v>30.028849315068438</v>
      </c>
      <c r="P9" s="194"/>
      <c r="Q9" s="194"/>
      <c r="R9" s="194"/>
      <c r="S9" s="194">
        <v>196.95525824657651</v>
      </c>
      <c r="T9" s="195">
        <v>1.7201291439154389</v>
      </c>
    </row>
    <row r="10" spans="1:20" x14ac:dyDescent="0.25">
      <c r="A10" s="192" t="s">
        <v>273</v>
      </c>
      <c r="B10" s="120" t="s">
        <v>110</v>
      </c>
      <c r="C10" s="194">
        <v>1921.0645205478888</v>
      </c>
      <c r="D10" s="194">
        <v>1917.3439726026834</v>
      </c>
      <c r="E10" s="194">
        <v>3.7205479452054786</v>
      </c>
      <c r="F10" s="194">
        <v>1662.6693109588878</v>
      </c>
      <c r="G10" s="194">
        <v>190.73187115068404</v>
      </c>
      <c r="H10" s="194">
        <v>37.621890410958898</v>
      </c>
      <c r="I10" s="194">
        <v>8.7574520547945216</v>
      </c>
      <c r="J10" s="194">
        <v>3.1996712328767134</v>
      </c>
      <c r="K10" s="194">
        <v>6.7308493150684905</v>
      </c>
      <c r="L10" s="194">
        <v>164.11079452054713</v>
      </c>
      <c r="M10" s="194">
        <v>164.11079452054713</v>
      </c>
      <c r="N10" s="194"/>
      <c r="O10" s="194"/>
      <c r="P10" s="194"/>
      <c r="Q10" s="194">
        <v>2.2613092465753395</v>
      </c>
      <c r="R10" s="194"/>
      <c r="S10" s="194">
        <v>2069.3522995753247</v>
      </c>
      <c r="T10" s="195">
        <v>1.0771904209574124</v>
      </c>
    </row>
    <row r="11" spans="1:20" x14ac:dyDescent="0.25">
      <c r="A11" s="192" t="s">
        <v>244</v>
      </c>
      <c r="B11" s="120" t="s">
        <v>130</v>
      </c>
      <c r="C11" s="194">
        <v>1086.6476712328927</v>
      </c>
      <c r="D11" s="194">
        <v>1051.0838356164543</v>
      </c>
      <c r="E11" s="194">
        <v>35.563835616438446</v>
      </c>
      <c r="F11" s="194">
        <v>542.61493150684828</v>
      </c>
      <c r="G11" s="194">
        <v>335.28963539725464</v>
      </c>
      <c r="H11" s="194">
        <v>52.305205479452056</v>
      </c>
      <c r="I11" s="194">
        <v>0.13520547945205477</v>
      </c>
      <c r="J11" s="194">
        <v>30.584898630136941</v>
      </c>
      <c r="K11" s="194"/>
      <c r="L11" s="194">
        <v>0.98493150684931496</v>
      </c>
      <c r="M11" s="194">
        <v>0.98493150684931496</v>
      </c>
      <c r="N11" s="194"/>
      <c r="O11" s="194"/>
      <c r="P11" s="194">
        <v>-0.11417792054794521</v>
      </c>
      <c r="Q11" s="194">
        <v>18.56709121917816</v>
      </c>
      <c r="R11" s="194"/>
      <c r="S11" s="194">
        <v>980.36772129862356</v>
      </c>
      <c r="T11" s="195">
        <v>0.90219465540869759</v>
      </c>
    </row>
    <row r="12" spans="1:20" x14ac:dyDescent="0.25">
      <c r="A12" s="192" t="s">
        <v>337</v>
      </c>
      <c r="B12" s="120" t="s">
        <v>62</v>
      </c>
      <c r="C12" s="194">
        <v>693.21369863017958</v>
      </c>
      <c r="D12" s="194">
        <v>693.21369863017958</v>
      </c>
      <c r="E12" s="194"/>
      <c r="F12" s="194">
        <v>498.92234246574253</v>
      </c>
      <c r="G12" s="194">
        <v>20.81410416438359</v>
      </c>
      <c r="H12" s="194">
        <v>240.03994520548036</v>
      </c>
      <c r="I12" s="194">
        <v>2.6538904109589039</v>
      </c>
      <c r="J12" s="194"/>
      <c r="K12" s="194">
        <v>2.0238904109588951</v>
      </c>
      <c r="L12" s="194">
        <v>2245.4075945205282</v>
      </c>
      <c r="M12" s="194">
        <v>2245.4075945205282</v>
      </c>
      <c r="N12" s="194">
        <v>339.41399999998879</v>
      </c>
      <c r="O12" s="194">
        <v>339.41399999998879</v>
      </c>
      <c r="P12" s="194"/>
      <c r="Q12" s="194"/>
      <c r="R12" s="194"/>
      <c r="S12" s="194">
        <v>3347.2518767670826</v>
      </c>
      <c r="T12" s="195">
        <v>4.8286003051892914</v>
      </c>
    </row>
    <row r="13" spans="1:20" x14ac:dyDescent="0.25">
      <c r="A13" s="192" t="s">
        <v>315</v>
      </c>
      <c r="B13" s="120" t="s">
        <v>78</v>
      </c>
      <c r="C13" s="194">
        <v>36.271232876712304</v>
      </c>
      <c r="D13" s="194">
        <v>36.271232876712304</v>
      </c>
      <c r="E13" s="194"/>
      <c r="F13" s="194">
        <v>56.944684931506764</v>
      </c>
      <c r="G13" s="194"/>
      <c r="H13" s="194"/>
      <c r="I13" s="194"/>
      <c r="J13" s="194"/>
      <c r="K13" s="194">
        <v>6.9534246575342462E-2</v>
      </c>
      <c r="L13" s="194"/>
      <c r="M13" s="194"/>
      <c r="N13" s="194"/>
      <c r="O13" s="194"/>
      <c r="P13" s="194"/>
      <c r="Q13" s="194"/>
      <c r="R13" s="194"/>
      <c r="S13" s="194">
        <v>56.944684931506764</v>
      </c>
      <c r="T13" s="195">
        <v>1.5699682755495121</v>
      </c>
    </row>
    <row r="14" spans="1:20" x14ac:dyDescent="0.25">
      <c r="A14" s="192" t="s">
        <v>316</v>
      </c>
      <c r="B14" s="120" t="s">
        <v>77</v>
      </c>
      <c r="C14" s="194">
        <v>24.265753424657536</v>
      </c>
      <c r="D14" s="194">
        <v>24.265753424657536</v>
      </c>
      <c r="E14" s="194"/>
      <c r="F14" s="194"/>
      <c r="G14" s="194">
        <v>17.938067671232872</v>
      </c>
      <c r="H14" s="194"/>
      <c r="I14" s="194">
        <v>1.0352876712328765</v>
      </c>
      <c r="J14" s="194"/>
      <c r="K14" s="194"/>
      <c r="L14" s="194"/>
      <c r="M14" s="194"/>
      <c r="N14" s="194"/>
      <c r="O14" s="194"/>
      <c r="P14" s="194"/>
      <c r="Q14" s="194"/>
      <c r="R14" s="194"/>
      <c r="S14" s="194">
        <v>18.973355342465748</v>
      </c>
      <c r="T14" s="195">
        <v>0.78189846449136247</v>
      </c>
    </row>
    <row r="15" spans="1:20" ht="22.5" customHeight="1" x14ac:dyDescent="0.25">
      <c r="A15" s="192" t="s">
        <v>385</v>
      </c>
      <c r="B15" s="120" t="s">
        <v>19</v>
      </c>
      <c r="C15" s="194">
        <v>93.560547945205528</v>
      </c>
      <c r="D15" s="194">
        <v>93.560547945205528</v>
      </c>
      <c r="E15" s="194"/>
      <c r="F15" s="194">
        <v>40.825479452054907</v>
      </c>
      <c r="G15" s="194"/>
      <c r="H15" s="194">
        <v>76.05346849315049</v>
      </c>
      <c r="I15" s="194"/>
      <c r="J15" s="194"/>
      <c r="K15" s="194">
        <v>0.55545205479452087</v>
      </c>
      <c r="L15" s="194">
        <v>295.05491506849262</v>
      </c>
      <c r="M15" s="194">
        <v>295.05491506849262</v>
      </c>
      <c r="N15" s="194">
        <v>87.63789041095896</v>
      </c>
      <c r="O15" s="194">
        <v>87.63789041095896</v>
      </c>
      <c r="P15" s="194"/>
      <c r="Q15" s="194"/>
      <c r="R15" s="194"/>
      <c r="S15" s="194">
        <v>499.571753424657</v>
      </c>
      <c r="T15" s="195">
        <v>5.3395556609740584</v>
      </c>
    </row>
    <row r="16" spans="1:20" x14ac:dyDescent="0.25">
      <c r="A16" s="192" t="s">
        <v>292</v>
      </c>
      <c r="B16" s="120" t="s">
        <v>92</v>
      </c>
      <c r="C16" s="194">
        <v>70.84109589041087</v>
      </c>
      <c r="D16" s="194">
        <v>70.84109589041087</v>
      </c>
      <c r="E16" s="194"/>
      <c r="F16" s="194"/>
      <c r="G16" s="194">
        <v>58.523641150685023</v>
      </c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>
        <v>58.523641150685023</v>
      </c>
      <c r="T16" s="195">
        <v>0.82612557605290882</v>
      </c>
    </row>
    <row r="17" spans="1:20" x14ac:dyDescent="0.25">
      <c r="A17" s="192" t="s">
        <v>386</v>
      </c>
      <c r="B17" s="120" t="s">
        <v>18</v>
      </c>
      <c r="C17" s="194">
        <v>334.58082191780852</v>
      </c>
      <c r="D17" s="194">
        <v>334.58082191780852</v>
      </c>
      <c r="E17" s="194"/>
      <c r="F17" s="194">
        <v>338.18373698630143</v>
      </c>
      <c r="G17" s="194">
        <v>58.053856767123214</v>
      </c>
      <c r="H17" s="194"/>
      <c r="I17" s="194"/>
      <c r="J17" s="194"/>
      <c r="K17" s="194"/>
      <c r="L17" s="194">
        <v>9.4804109589041161</v>
      </c>
      <c r="M17" s="194">
        <v>9.4804109589041161</v>
      </c>
      <c r="N17" s="194"/>
      <c r="O17" s="194"/>
      <c r="P17" s="194"/>
      <c r="Q17" s="194"/>
      <c r="R17" s="194"/>
      <c r="S17" s="194">
        <v>405.71800471232871</v>
      </c>
      <c r="T17" s="195">
        <v>1.2126158408804306</v>
      </c>
    </row>
    <row r="18" spans="1:20" x14ac:dyDescent="0.25">
      <c r="A18" s="192" t="s">
        <v>255</v>
      </c>
      <c r="B18" s="120" t="s">
        <v>124</v>
      </c>
      <c r="C18" s="194">
        <v>2046.3895890410718</v>
      </c>
      <c r="D18" s="194">
        <v>2023.8087671232636</v>
      </c>
      <c r="E18" s="194">
        <v>22.580821917808276</v>
      </c>
      <c r="F18" s="194">
        <v>1028.3298684931538</v>
      </c>
      <c r="G18" s="194">
        <v>617.78869101369889</v>
      </c>
      <c r="H18" s="194">
        <v>88.408931506849314</v>
      </c>
      <c r="I18" s="194"/>
      <c r="J18" s="194">
        <v>19.419506849315091</v>
      </c>
      <c r="K18" s="194"/>
      <c r="L18" s="194">
        <v>6.1479452054794592</v>
      </c>
      <c r="M18" s="194">
        <v>6.1479452054794592</v>
      </c>
      <c r="N18" s="194"/>
      <c r="O18" s="194"/>
      <c r="P18" s="194"/>
      <c r="Q18" s="194">
        <v>15.648844931506854</v>
      </c>
      <c r="R18" s="194"/>
      <c r="S18" s="194">
        <v>1775.7437880000034</v>
      </c>
      <c r="T18" s="195">
        <v>0.86774473321676138</v>
      </c>
    </row>
    <row r="19" spans="1:20" x14ac:dyDescent="0.25">
      <c r="A19" s="192" t="s">
        <v>228</v>
      </c>
      <c r="B19" s="120" t="s">
        <v>141</v>
      </c>
      <c r="C19" s="194">
        <v>190.90739726027249</v>
      </c>
      <c r="D19" s="194">
        <v>190.90739726027249</v>
      </c>
      <c r="E19" s="194"/>
      <c r="F19" s="194">
        <v>162.4622794520559</v>
      </c>
      <c r="G19" s="194">
        <v>67.257624575342433</v>
      </c>
      <c r="H19" s="194"/>
      <c r="I19" s="194">
        <v>0.70499999999999996</v>
      </c>
      <c r="J19" s="194"/>
      <c r="K19" s="194">
        <v>0.2801095890410959</v>
      </c>
      <c r="L19" s="194">
        <v>2.7671232876712351</v>
      </c>
      <c r="M19" s="194">
        <v>2.7671232876712351</v>
      </c>
      <c r="N19" s="194">
        <v>18.314980821917761</v>
      </c>
      <c r="O19" s="194">
        <v>18.314980821917761</v>
      </c>
      <c r="P19" s="194"/>
      <c r="Q19" s="194"/>
      <c r="R19" s="194"/>
      <c r="S19" s="194">
        <v>251.50700813698737</v>
      </c>
      <c r="T19" s="195">
        <v>1.3174293492362517</v>
      </c>
    </row>
    <row r="20" spans="1:20" x14ac:dyDescent="0.25">
      <c r="A20" s="192" t="s">
        <v>327</v>
      </c>
      <c r="B20" s="120" t="s">
        <v>70</v>
      </c>
      <c r="C20" s="194">
        <v>331.55616438356168</v>
      </c>
      <c r="D20" s="194">
        <v>331.00657534246579</v>
      </c>
      <c r="E20" s="194">
        <v>0.54958904109589035</v>
      </c>
      <c r="F20" s="194">
        <v>183.16592876712355</v>
      </c>
      <c r="G20" s="194">
        <v>102.81204969863043</v>
      </c>
      <c r="H20" s="194"/>
      <c r="I20" s="194">
        <v>0.3090410958904109</v>
      </c>
      <c r="J20" s="194">
        <v>0.47264657534246568</v>
      </c>
      <c r="K20" s="194">
        <v>1.0684931506849314E-2</v>
      </c>
      <c r="L20" s="194">
        <v>5.3287671232876779</v>
      </c>
      <c r="M20" s="194">
        <v>5.3287671232876779</v>
      </c>
      <c r="N20" s="194"/>
      <c r="O20" s="194"/>
      <c r="P20" s="194"/>
      <c r="Q20" s="194">
        <v>2.1984976712328774</v>
      </c>
      <c r="R20" s="194"/>
      <c r="S20" s="194">
        <v>294.28693093150736</v>
      </c>
      <c r="T20" s="195">
        <v>0.88759300095853699</v>
      </c>
    </row>
    <row r="21" spans="1:20" x14ac:dyDescent="0.25">
      <c r="A21" s="192" t="s">
        <v>326</v>
      </c>
      <c r="B21" s="120" t="s">
        <v>71</v>
      </c>
      <c r="C21" s="194">
        <v>2426.713150684865</v>
      </c>
      <c r="D21" s="194">
        <v>2426.713150684865</v>
      </c>
      <c r="E21" s="194"/>
      <c r="F21" s="194">
        <v>1777.198043835635</v>
      </c>
      <c r="G21" s="194">
        <v>422.30479545205498</v>
      </c>
      <c r="H21" s="194">
        <v>94.183364383561624</v>
      </c>
      <c r="I21" s="194">
        <v>6.625068493150688</v>
      </c>
      <c r="J21" s="194"/>
      <c r="K21" s="194">
        <v>7.5648328767123356</v>
      </c>
      <c r="L21" s="194">
        <v>95.141512328766481</v>
      </c>
      <c r="M21" s="194">
        <v>95.141512328766481</v>
      </c>
      <c r="N21" s="194">
        <v>8.8592054794520383</v>
      </c>
      <c r="O21" s="194">
        <v>8.8592054794520383</v>
      </c>
      <c r="P21" s="194"/>
      <c r="Q21" s="194">
        <v>2.0535108904109589</v>
      </c>
      <c r="R21" s="194"/>
      <c r="S21" s="194">
        <v>2406.3655008630317</v>
      </c>
      <c r="T21" s="195">
        <v>0.99161514008522955</v>
      </c>
    </row>
    <row r="22" spans="1:20" x14ac:dyDescent="0.25">
      <c r="A22" s="192" t="s">
        <v>235</v>
      </c>
      <c r="B22" s="120" t="s">
        <v>138</v>
      </c>
      <c r="C22" s="194">
        <v>16.298630136986308</v>
      </c>
      <c r="D22" s="194">
        <v>16.298630136986308</v>
      </c>
      <c r="E22" s="194"/>
      <c r="F22" s="194"/>
      <c r="G22" s="194">
        <v>12.424445753424658</v>
      </c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>
        <v>12.424445753424658</v>
      </c>
      <c r="T22" s="195">
        <v>0.76229999999999976</v>
      </c>
    </row>
    <row r="23" spans="1:20" x14ac:dyDescent="0.25">
      <c r="A23" s="192" t="s">
        <v>251</v>
      </c>
      <c r="B23" s="120" t="s">
        <v>127</v>
      </c>
      <c r="C23" s="194">
        <v>94.750684931506953</v>
      </c>
      <c r="D23" s="194">
        <v>94.750684931506953</v>
      </c>
      <c r="E23" s="194"/>
      <c r="F23" s="194">
        <v>102.47876712328816</v>
      </c>
      <c r="G23" s="194">
        <v>23.096645753424649</v>
      </c>
      <c r="H23" s="194"/>
      <c r="I23" s="194"/>
      <c r="J23" s="194"/>
      <c r="K23" s="194">
        <v>0.28800000000000003</v>
      </c>
      <c r="L23" s="194">
        <v>2.7958904109589064</v>
      </c>
      <c r="M23" s="194">
        <v>2.7958904109589064</v>
      </c>
      <c r="N23" s="194">
        <v>26.42084931506843</v>
      </c>
      <c r="O23" s="194">
        <v>26.076739726027274</v>
      </c>
      <c r="P23" s="194"/>
      <c r="Q23" s="194"/>
      <c r="R23" s="194"/>
      <c r="S23" s="194">
        <v>154.44804301369902</v>
      </c>
      <c r="T23" s="195">
        <v>1.6300467181355565</v>
      </c>
    </row>
    <row r="24" spans="1:20" x14ac:dyDescent="0.25">
      <c r="A24" s="192" t="s">
        <v>355</v>
      </c>
      <c r="B24" s="120" t="s">
        <v>42</v>
      </c>
      <c r="C24" s="194">
        <v>91.764657534246865</v>
      </c>
      <c r="D24" s="194">
        <v>76.586246575342756</v>
      </c>
      <c r="E24" s="194">
        <v>15.178410958904111</v>
      </c>
      <c r="F24" s="194"/>
      <c r="G24" s="194">
        <v>58.381695764383529</v>
      </c>
      <c r="H24" s="194"/>
      <c r="I24" s="194"/>
      <c r="J24" s="194">
        <v>13.053433424657504</v>
      </c>
      <c r="K24" s="194"/>
      <c r="L24" s="194"/>
      <c r="M24" s="194"/>
      <c r="N24" s="194"/>
      <c r="O24" s="194"/>
      <c r="P24" s="194"/>
      <c r="Q24" s="194"/>
      <c r="R24" s="194"/>
      <c r="S24" s="194">
        <v>71.435129189041035</v>
      </c>
      <c r="T24" s="195">
        <v>0.77846015131022761</v>
      </c>
    </row>
    <row r="25" spans="1:20" x14ac:dyDescent="0.25">
      <c r="A25" s="192" t="s">
        <v>246</v>
      </c>
      <c r="B25" s="120" t="s">
        <v>128</v>
      </c>
      <c r="C25" s="194">
        <v>189.87356164383496</v>
      </c>
      <c r="D25" s="194">
        <v>189.87356164383496</v>
      </c>
      <c r="E25" s="194"/>
      <c r="F25" s="194">
        <v>224.90448082191668</v>
      </c>
      <c r="G25" s="194"/>
      <c r="H25" s="194"/>
      <c r="I25" s="194"/>
      <c r="J25" s="194"/>
      <c r="K25" s="194">
        <v>0.67528767123287692</v>
      </c>
      <c r="L25" s="194">
        <v>38.246575342465754</v>
      </c>
      <c r="M25" s="194">
        <v>38.246575342465754</v>
      </c>
      <c r="N25" s="194"/>
      <c r="O25" s="194"/>
      <c r="P25" s="194"/>
      <c r="Q25" s="194"/>
      <c r="R25" s="194"/>
      <c r="S25" s="194">
        <v>263.15105616438245</v>
      </c>
      <c r="T25" s="195">
        <v>1.3859278452784358</v>
      </c>
    </row>
    <row r="26" spans="1:20" x14ac:dyDescent="0.25">
      <c r="A26" s="192" t="s">
        <v>319</v>
      </c>
      <c r="B26" s="120" t="s">
        <v>75</v>
      </c>
      <c r="C26" s="194">
        <v>146.64698630136994</v>
      </c>
      <c r="D26" s="194">
        <v>137.0716438356165</v>
      </c>
      <c r="E26" s="194">
        <v>9.5753424657534225</v>
      </c>
      <c r="F26" s="194">
        <v>120.28241095890448</v>
      </c>
      <c r="G26" s="194">
        <v>46.637177520547951</v>
      </c>
      <c r="H26" s="194"/>
      <c r="I26" s="194"/>
      <c r="J26" s="194">
        <v>8.2347945205479434</v>
      </c>
      <c r="K26" s="194"/>
      <c r="L26" s="194"/>
      <c r="M26" s="194"/>
      <c r="N26" s="194">
        <v>30.660136986301275</v>
      </c>
      <c r="O26" s="194">
        <v>30.18205479452056</v>
      </c>
      <c r="P26" s="194"/>
      <c r="Q26" s="194"/>
      <c r="R26" s="194"/>
      <c r="S26" s="194">
        <v>205.33643779452095</v>
      </c>
      <c r="T26" s="195">
        <v>1.4002090528648168</v>
      </c>
    </row>
    <row r="27" spans="1:20" x14ac:dyDescent="0.25">
      <c r="A27" s="192" t="s">
        <v>298</v>
      </c>
      <c r="B27" s="120" t="s">
        <v>88</v>
      </c>
      <c r="C27" s="194">
        <v>38.912328767123242</v>
      </c>
      <c r="D27" s="194">
        <v>38.912328767123242</v>
      </c>
      <c r="E27" s="194"/>
      <c r="F27" s="194">
        <v>61.382712328767028</v>
      </c>
      <c r="G27" s="194"/>
      <c r="H27" s="194"/>
      <c r="I27" s="194">
        <v>0.43265753424657527</v>
      </c>
      <c r="J27" s="194"/>
      <c r="K27" s="194">
        <v>2.3342465753424656E-2</v>
      </c>
      <c r="L27" s="194"/>
      <c r="M27" s="194"/>
      <c r="N27" s="194"/>
      <c r="O27" s="194"/>
      <c r="P27" s="194"/>
      <c r="Q27" s="194"/>
      <c r="R27" s="194"/>
      <c r="S27" s="194">
        <v>61.815369863013601</v>
      </c>
      <c r="T27" s="195">
        <v>1.5885805815672742</v>
      </c>
    </row>
    <row r="28" spans="1:20" x14ac:dyDescent="0.25">
      <c r="A28" s="192" t="s">
        <v>305</v>
      </c>
      <c r="B28" s="120" t="s">
        <v>86</v>
      </c>
      <c r="C28" s="194">
        <v>201.10931506849198</v>
      </c>
      <c r="D28" s="194">
        <v>201.10931506849198</v>
      </c>
      <c r="E28" s="194"/>
      <c r="F28" s="194">
        <v>132.74028493150706</v>
      </c>
      <c r="G28" s="194">
        <v>47.180534876712329</v>
      </c>
      <c r="H28" s="194"/>
      <c r="I28" s="194">
        <v>4.2222739726027392</v>
      </c>
      <c r="J28" s="194"/>
      <c r="K28" s="194">
        <v>0.11293150684931506</v>
      </c>
      <c r="L28" s="194">
        <v>15.189041095890422</v>
      </c>
      <c r="M28" s="194">
        <v>15.189041095890422</v>
      </c>
      <c r="N28" s="194"/>
      <c r="O28" s="194"/>
      <c r="P28" s="194"/>
      <c r="Q28" s="194">
        <v>1.8843429452054805</v>
      </c>
      <c r="R28" s="194"/>
      <c r="S28" s="194">
        <v>201.21647782191803</v>
      </c>
      <c r="T28" s="195">
        <v>1.0005328582288173</v>
      </c>
    </row>
    <row r="29" spans="1:20" x14ac:dyDescent="0.25">
      <c r="A29" s="192" t="s">
        <v>282</v>
      </c>
      <c r="B29" s="120" t="s">
        <v>103</v>
      </c>
      <c r="C29" s="194">
        <v>227.02945205479375</v>
      </c>
      <c r="D29" s="194">
        <v>225.87712328767046</v>
      </c>
      <c r="E29" s="194">
        <v>1.1523287671232871</v>
      </c>
      <c r="F29" s="194">
        <v>112.39432876712358</v>
      </c>
      <c r="G29" s="194">
        <v>42.10168238356168</v>
      </c>
      <c r="H29" s="194"/>
      <c r="I29" s="194"/>
      <c r="J29" s="194">
        <v>0.99100273972602737</v>
      </c>
      <c r="K29" s="194">
        <v>0.59786301369863004</v>
      </c>
      <c r="L29" s="194">
        <v>12.698356164383574</v>
      </c>
      <c r="M29" s="194">
        <v>12.698356164383574</v>
      </c>
      <c r="N29" s="194"/>
      <c r="O29" s="194"/>
      <c r="P29" s="194"/>
      <c r="Q29" s="194"/>
      <c r="R29" s="194"/>
      <c r="S29" s="194">
        <v>168.18537005479484</v>
      </c>
      <c r="T29" s="195">
        <v>0.74080859788272391</v>
      </c>
    </row>
    <row r="30" spans="1:20" x14ac:dyDescent="0.25">
      <c r="A30" s="192" t="s">
        <v>289</v>
      </c>
      <c r="B30" s="120" t="s">
        <v>95</v>
      </c>
      <c r="C30" s="194">
        <v>70.931506849315085</v>
      </c>
      <c r="D30" s="194">
        <v>70.931506849315085</v>
      </c>
      <c r="E30" s="194"/>
      <c r="F30" s="194">
        <v>55.63257534246582</v>
      </c>
      <c r="G30" s="194">
        <v>11.234004657534246</v>
      </c>
      <c r="H30" s="194"/>
      <c r="I30" s="194"/>
      <c r="J30" s="194"/>
      <c r="K30" s="194">
        <v>0.13052054794520548</v>
      </c>
      <c r="L30" s="194">
        <v>1.532876712328767</v>
      </c>
      <c r="M30" s="194">
        <v>1.532876712328767</v>
      </c>
      <c r="N30" s="194">
        <v>8.653808219178087</v>
      </c>
      <c r="O30" s="194">
        <v>8.653808219178087</v>
      </c>
      <c r="P30" s="194"/>
      <c r="Q30" s="194"/>
      <c r="R30" s="194"/>
      <c r="S30" s="194">
        <v>77.053264931506931</v>
      </c>
      <c r="T30" s="195">
        <v>1.0863052027809974</v>
      </c>
    </row>
    <row r="31" spans="1:20" x14ac:dyDescent="0.25">
      <c r="A31" s="192" t="s">
        <v>279</v>
      </c>
      <c r="B31" s="120" t="s">
        <v>107</v>
      </c>
      <c r="C31" s="194">
        <v>43.35410958904108</v>
      </c>
      <c r="D31" s="194">
        <v>40.65821917808217</v>
      </c>
      <c r="E31" s="194">
        <v>2.6958904109589099</v>
      </c>
      <c r="F31" s="194"/>
      <c r="G31" s="194">
        <v>30.93737116438356</v>
      </c>
      <c r="H31" s="194"/>
      <c r="I31" s="194">
        <v>0.10430136986301369</v>
      </c>
      <c r="J31" s="194">
        <v>2.3184657534246611</v>
      </c>
      <c r="K31" s="194"/>
      <c r="L31" s="194">
        <v>0.8999999999999998</v>
      </c>
      <c r="M31" s="194">
        <v>0.8999999999999998</v>
      </c>
      <c r="N31" s="194"/>
      <c r="O31" s="194"/>
      <c r="P31" s="194"/>
      <c r="Q31" s="194"/>
      <c r="R31" s="194"/>
      <c r="S31" s="194">
        <v>34.260138287671232</v>
      </c>
      <c r="T31" s="195">
        <v>0.79023969382435211</v>
      </c>
    </row>
    <row r="32" spans="1:20" x14ac:dyDescent="0.25">
      <c r="A32" s="192" t="s">
        <v>361</v>
      </c>
      <c r="B32" s="120" t="s">
        <v>76</v>
      </c>
      <c r="C32" s="194">
        <v>40.4986301369863</v>
      </c>
      <c r="D32" s="194">
        <v>40.4986301369863</v>
      </c>
      <c r="E32" s="194"/>
      <c r="F32" s="194"/>
      <c r="G32" s="194">
        <v>30.872105753424648</v>
      </c>
      <c r="H32" s="194"/>
      <c r="I32" s="194"/>
      <c r="J32" s="194"/>
      <c r="K32" s="194"/>
      <c r="L32" s="194">
        <v>0.55205479452054784</v>
      </c>
      <c r="M32" s="194">
        <v>0.55205479452054784</v>
      </c>
      <c r="N32" s="194"/>
      <c r="O32" s="194"/>
      <c r="P32" s="194"/>
      <c r="Q32" s="194"/>
      <c r="R32" s="194"/>
      <c r="S32" s="194">
        <v>31.424160547945196</v>
      </c>
      <c r="T32" s="195">
        <v>0.77593144364767941</v>
      </c>
    </row>
    <row r="33" spans="1:20" x14ac:dyDescent="0.25">
      <c r="A33" s="192" t="s">
        <v>362</v>
      </c>
      <c r="B33" s="120" t="s">
        <v>33</v>
      </c>
      <c r="C33" s="194">
        <v>61.213698630137024</v>
      </c>
      <c r="D33" s="194">
        <v>61.213698630137024</v>
      </c>
      <c r="E33" s="194"/>
      <c r="F33" s="194">
        <v>97.096356164383607</v>
      </c>
      <c r="G33" s="194"/>
      <c r="H33" s="194"/>
      <c r="I33" s="194"/>
      <c r="J33" s="194"/>
      <c r="K33" s="194">
        <v>2.3342465753424656E-2</v>
      </c>
      <c r="L33" s="194">
        <v>0.7</v>
      </c>
      <c r="M33" s="194">
        <v>0.7</v>
      </c>
      <c r="N33" s="194"/>
      <c r="O33" s="194"/>
      <c r="P33" s="194"/>
      <c r="Q33" s="194"/>
      <c r="R33" s="194"/>
      <c r="S33" s="194">
        <v>97.79635616438361</v>
      </c>
      <c r="T33" s="195">
        <v>1.5976220740276605</v>
      </c>
    </row>
    <row r="34" spans="1:20" x14ac:dyDescent="0.25">
      <c r="A34" s="192" t="s">
        <v>366</v>
      </c>
      <c r="B34" s="120" t="s">
        <v>32</v>
      </c>
      <c r="C34" s="194">
        <v>10263.811780822136</v>
      </c>
      <c r="D34" s="194">
        <v>10058.340547945429</v>
      </c>
      <c r="E34" s="194">
        <v>205.47123287670766</v>
      </c>
      <c r="F34" s="194">
        <v>8609.7532849312884</v>
      </c>
      <c r="G34" s="194">
        <v>780.86473586299928</v>
      </c>
      <c r="H34" s="194">
        <v>542.25046027397138</v>
      </c>
      <c r="I34" s="194">
        <v>213.41837260274039</v>
      </c>
      <c r="J34" s="194">
        <v>176.7052602739731</v>
      </c>
      <c r="K34" s="194">
        <v>15.477715068493193</v>
      </c>
      <c r="L34" s="194">
        <v>572.29950684932123</v>
      </c>
      <c r="M34" s="194">
        <v>572.29950684932123</v>
      </c>
      <c r="N34" s="194"/>
      <c r="O34" s="194"/>
      <c r="P34" s="194"/>
      <c r="Q34" s="194">
        <v>33.440452054794648</v>
      </c>
      <c r="R34" s="194"/>
      <c r="S34" s="194">
        <v>10928.732072849089</v>
      </c>
      <c r="T34" s="195">
        <v>1.0647829779253657</v>
      </c>
    </row>
    <row r="35" spans="1:20" x14ac:dyDescent="0.25">
      <c r="A35" s="192" t="s">
        <v>358</v>
      </c>
      <c r="B35" s="120" t="s">
        <v>39</v>
      </c>
      <c r="C35" s="194">
        <v>986.77479452060845</v>
      </c>
      <c r="D35" s="194">
        <v>986.77479452060845</v>
      </c>
      <c r="E35" s="194"/>
      <c r="F35" s="194">
        <v>557.74010958902375</v>
      </c>
      <c r="G35" s="194">
        <v>49.323778191780995</v>
      </c>
      <c r="H35" s="194">
        <v>514.46071232876693</v>
      </c>
      <c r="I35" s="194">
        <v>1.807890410958904</v>
      </c>
      <c r="J35" s="194"/>
      <c r="K35" s="194">
        <v>2.7055890410958896</v>
      </c>
      <c r="L35" s="194">
        <v>3362.0624109588689</v>
      </c>
      <c r="M35" s="194">
        <v>3362.0624109588689</v>
      </c>
      <c r="N35" s="194">
        <v>70.132904109589077</v>
      </c>
      <c r="O35" s="194">
        <v>70.132904109589077</v>
      </c>
      <c r="P35" s="194"/>
      <c r="Q35" s="194"/>
      <c r="R35" s="194"/>
      <c r="S35" s="194">
        <v>4555.5278055889885</v>
      </c>
      <c r="T35" s="195">
        <v>4.6165830652394595</v>
      </c>
    </row>
    <row r="36" spans="1:20" x14ac:dyDescent="0.25">
      <c r="A36" s="192" t="s">
        <v>364</v>
      </c>
      <c r="B36" s="120" t="s">
        <v>35</v>
      </c>
      <c r="C36" s="194">
        <v>1556.0980821917758</v>
      </c>
      <c r="D36" s="194">
        <v>1556.0980821917758</v>
      </c>
      <c r="E36" s="194"/>
      <c r="F36" s="194">
        <v>992.62773150681221</v>
      </c>
      <c r="G36" s="194">
        <v>58.644275890411073</v>
      </c>
      <c r="H36" s="194">
        <v>713.27843835616352</v>
      </c>
      <c r="I36" s="194"/>
      <c r="J36" s="194"/>
      <c r="K36" s="194">
        <v>4.7917808219178175</v>
      </c>
      <c r="L36" s="194">
        <v>5343.612449315222</v>
      </c>
      <c r="M36" s="194">
        <v>5343.612449315222</v>
      </c>
      <c r="N36" s="194">
        <v>461.89260273972712</v>
      </c>
      <c r="O36" s="194">
        <v>461.89260273972712</v>
      </c>
      <c r="P36" s="194"/>
      <c r="Q36" s="194"/>
      <c r="R36" s="194"/>
      <c r="S36" s="194">
        <v>7570.0554978083355</v>
      </c>
      <c r="T36" s="195">
        <v>4.8647675775975863</v>
      </c>
    </row>
    <row r="37" spans="1:20" x14ac:dyDescent="0.25">
      <c r="A37" s="192" t="s">
        <v>306</v>
      </c>
      <c r="B37" s="120" t="s">
        <v>529</v>
      </c>
      <c r="C37" s="194">
        <v>1276.9797260273924</v>
      </c>
      <c r="D37" s="194">
        <v>1276.9797260273924</v>
      </c>
      <c r="E37" s="194"/>
      <c r="F37" s="194">
        <v>258.23671232876552</v>
      </c>
      <c r="G37" s="194">
        <v>556.69944361644718</v>
      </c>
      <c r="H37" s="194"/>
      <c r="I37" s="194"/>
      <c r="J37" s="194"/>
      <c r="K37" s="194">
        <v>9.7643835616438353E-3</v>
      </c>
      <c r="L37" s="194">
        <v>1.5205479452054795</v>
      </c>
      <c r="M37" s="194">
        <v>1.5205479452054795</v>
      </c>
      <c r="N37" s="194"/>
      <c r="O37" s="194"/>
      <c r="P37" s="194">
        <v>-3.4851001643835566</v>
      </c>
      <c r="Q37" s="194"/>
      <c r="R37" s="194"/>
      <c r="S37" s="194">
        <v>812.97160372603469</v>
      </c>
      <c r="T37" s="195">
        <v>0.63663626536588858</v>
      </c>
    </row>
    <row r="38" spans="1:20" x14ac:dyDescent="0.25">
      <c r="A38" s="192" t="s">
        <v>300</v>
      </c>
      <c r="B38" s="120" t="s">
        <v>435</v>
      </c>
      <c r="C38" s="194">
        <v>8.5996164383561791</v>
      </c>
      <c r="D38" s="194"/>
      <c r="E38" s="194">
        <v>8.5996164383561791</v>
      </c>
      <c r="F38" s="194"/>
      <c r="G38" s="194"/>
      <c r="H38" s="194"/>
      <c r="I38" s="194"/>
      <c r="J38" s="194">
        <v>7.3956701369863209</v>
      </c>
      <c r="K38" s="194"/>
      <c r="L38" s="194"/>
      <c r="M38" s="194"/>
      <c r="N38" s="194"/>
      <c r="O38" s="194"/>
      <c r="P38" s="194">
        <v>-2.3561643835616438E-3</v>
      </c>
      <c r="Q38" s="194"/>
      <c r="R38" s="194"/>
      <c r="S38" s="194">
        <v>7.3933139726027592</v>
      </c>
      <c r="T38" s="195">
        <v>0.85972601517748559</v>
      </c>
    </row>
    <row r="39" spans="1:20" x14ac:dyDescent="0.25">
      <c r="A39" s="192" t="s">
        <v>240</v>
      </c>
      <c r="B39" s="120" t="s">
        <v>135</v>
      </c>
      <c r="C39" s="194">
        <v>1390.7680273972353</v>
      </c>
      <c r="D39" s="194">
        <v>1379.5954246575093</v>
      </c>
      <c r="E39" s="194">
        <v>11.172602739726043</v>
      </c>
      <c r="F39" s="194">
        <v>1263.2818350684156</v>
      </c>
      <c r="G39" s="194">
        <v>362.79007949589317</v>
      </c>
      <c r="H39" s="194"/>
      <c r="I39" s="194">
        <v>29.094094520547955</v>
      </c>
      <c r="J39" s="194">
        <v>9.6084383561643865</v>
      </c>
      <c r="K39" s="194">
        <v>0.53079452054794529</v>
      </c>
      <c r="L39" s="194">
        <v>2.2143835616438357</v>
      </c>
      <c r="M39" s="194">
        <v>2.2143835616438357</v>
      </c>
      <c r="N39" s="194"/>
      <c r="O39" s="194"/>
      <c r="P39" s="194">
        <v>-29.088454126027415</v>
      </c>
      <c r="Q39" s="194">
        <v>18.600659424657589</v>
      </c>
      <c r="R39" s="194"/>
      <c r="S39" s="194">
        <v>1656.5010363012952</v>
      </c>
      <c r="T39" s="195">
        <v>1.1910692535845355</v>
      </c>
    </row>
    <row r="40" spans="1:20" x14ac:dyDescent="0.25">
      <c r="A40" s="192" t="s">
        <v>261</v>
      </c>
      <c r="B40" s="120" t="s">
        <v>118</v>
      </c>
      <c r="C40" s="194">
        <v>348.73753424657383</v>
      </c>
      <c r="D40" s="194">
        <v>348.73753424657383</v>
      </c>
      <c r="E40" s="194"/>
      <c r="F40" s="194">
        <v>228.75526027397487</v>
      </c>
      <c r="G40" s="194">
        <v>154.08661550684931</v>
      </c>
      <c r="H40" s="194"/>
      <c r="I40" s="194">
        <v>0.54854794520547934</v>
      </c>
      <c r="J40" s="194"/>
      <c r="K40" s="194">
        <v>0.43052054794520567</v>
      </c>
      <c r="L40" s="194">
        <v>2.0041095890410956</v>
      </c>
      <c r="M40" s="194">
        <v>2.0041095890410956</v>
      </c>
      <c r="N40" s="194">
        <v>35.207205479452007</v>
      </c>
      <c r="O40" s="194">
        <v>35.207205479452007</v>
      </c>
      <c r="P40" s="194"/>
      <c r="Q40" s="194"/>
      <c r="R40" s="194"/>
      <c r="S40" s="194">
        <v>420.60173879452276</v>
      </c>
      <c r="T40" s="195">
        <v>1.2060696010345062</v>
      </c>
    </row>
    <row r="41" spans="1:20" x14ac:dyDescent="0.25">
      <c r="A41" s="192" t="s">
        <v>310</v>
      </c>
      <c r="B41" s="120" t="s">
        <v>81</v>
      </c>
      <c r="C41" s="194">
        <v>2996.0220547944596</v>
      </c>
      <c r="D41" s="194">
        <v>2996.0220547944596</v>
      </c>
      <c r="E41" s="194"/>
      <c r="F41" s="194">
        <v>2334.9069369863319</v>
      </c>
      <c r="G41" s="194">
        <v>411.84484226026882</v>
      </c>
      <c r="H41" s="194">
        <v>89.243342465753258</v>
      </c>
      <c r="I41" s="194">
        <v>51.855164383561586</v>
      </c>
      <c r="J41" s="194"/>
      <c r="K41" s="194">
        <v>10.35928767123289</v>
      </c>
      <c r="L41" s="194">
        <v>275.70115068493385</v>
      </c>
      <c r="M41" s="194">
        <v>275.70115068493385</v>
      </c>
      <c r="N41" s="194">
        <v>14.302465753424613</v>
      </c>
      <c r="O41" s="194">
        <v>14.302465753424613</v>
      </c>
      <c r="P41" s="194"/>
      <c r="Q41" s="194">
        <v>4.871486746575342</v>
      </c>
      <c r="R41" s="194"/>
      <c r="S41" s="194">
        <v>3182.7253892808499</v>
      </c>
      <c r="T41" s="195">
        <v>1.0623170761335416</v>
      </c>
    </row>
    <row r="42" spans="1:20" x14ac:dyDescent="0.25">
      <c r="A42" s="192" t="s">
        <v>374</v>
      </c>
      <c r="B42" s="120" t="s">
        <v>28</v>
      </c>
      <c r="C42" s="194">
        <v>17.490958904109601</v>
      </c>
      <c r="D42" s="194">
        <v>17.490958904109601</v>
      </c>
      <c r="E42" s="194"/>
      <c r="F42" s="194"/>
      <c r="G42" s="194">
        <v>13.333357972602739</v>
      </c>
      <c r="H42" s="194"/>
      <c r="I42" s="194"/>
      <c r="J42" s="194"/>
      <c r="K42" s="194"/>
      <c r="L42" s="194"/>
      <c r="M42" s="194"/>
      <c r="N42" s="194">
        <v>0.11720547945205478</v>
      </c>
      <c r="O42" s="194">
        <v>0.11720547945205478</v>
      </c>
      <c r="P42" s="194"/>
      <c r="Q42" s="194"/>
      <c r="R42" s="194"/>
      <c r="S42" s="194">
        <v>13.450563452054794</v>
      </c>
      <c r="T42" s="195">
        <v>0.76900091789104297</v>
      </c>
    </row>
    <row r="43" spans="1:20" x14ac:dyDescent="0.25">
      <c r="A43" s="192" t="s">
        <v>270</v>
      </c>
      <c r="B43" s="120" t="s">
        <v>112</v>
      </c>
      <c r="C43" s="194">
        <v>2273.0573972603229</v>
      </c>
      <c r="D43" s="194">
        <v>2273.049726027446</v>
      </c>
      <c r="E43" s="194">
        <v>7.6712328767123287E-3</v>
      </c>
      <c r="F43" s="194">
        <v>1788.8127945205388</v>
      </c>
      <c r="G43" s="194">
        <v>346.32692193150547</v>
      </c>
      <c r="H43" s="194">
        <v>49.724712328767112</v>
      </c>
      <c r="I43" s="194"/>
      <c r="J43" s="194">
        <v>6.5972602739726022E-3</v>
      </c>
      <c r="K43" s="194">
        <v>7.02542465753426</v>
      </c>
      <c r="L43" s="194">
        <v>146.06893150684863</v>
      </c>
      <c r="M43" s="194">
        <v>146.06893150684863</v>
      </c>
      <c r="N43" s="194">
        <v>6.674767123287678</v>
      </c>
      <c r="O43" s="194">
        <v>6.674767123287678</v>
      </c>
      <c r="P43" s="194">
        <v>-0.81284281917808199</v>
      </c>
      <c r="Q43" s="194">
        <v>4.939096438356164</v>
      </c>
      <c r="R43" s="194">
        <v>2.3127671232876716</v>
      </c>
      <c r="S43" s="194">
        <v>2344.053745413687</v>
      </c>
      <c r="T43" s="195">
        <v>1.0312338563200978</v>
      </c>
    </row>
    <row r="44" spans="1:20" x14ac:dyDescent="0.25">
      <c r="A44" s="192" t="s">
        <v>311</v>
      </c>
      <c r="B44" s="120" t="s">
        <v>80</v>
      </c>
      <c r="C44" s="194">
        <v>1755.5242465753629</v>
      </c>
      <c r="D44" s="194">
        <v>1755.5242465753629</v>
      </c>
      <c r="E44" s="194"/>
      <c r="F44" s="194">
        <v>1397.1707835616382</v>
      </c>
      <c r="G44" s="194">
        <v>260.08847036986452</v>
      </c>
      <c r="H44" s="194">
        <v>12.20712328767123</v>
      </c>
      <c r="I44" s="194"/>
      <c r="J44" s="194"/>
      <c r="K44" s="194">
        <v>7.1850410958904103</v>
      </c>
      <c r="L44" s="194">
        <v>132.3812054794505</v>
      </c>
      <c r="M44" s="194">
        <v>132.3812054794505</v>
      </c>
      <c r="N44" s="194">
        <v>3.4838904109589039</v>
      </c>
      <c r="O44" s="194">
        <v>3.4838904109589039</v>
      </c>
      <c r="P44" s="194"/>
      <c r="Q44" s="194"/>
      <c r="R44" s="194"/>
      <c r="S44" s="194">
        <v>1805.3314731095834</v>
      </c>
      <c r="T44" s="195">
        <v>1.0283717109754442</v>
      </c>
    </row>
    <row r="45" spans="1:20" x14ac:dyDescent="0.25">
      <c r="A45" s="192" t="s">
        <v>281</v>
      </c>
      <c r="B45" s="120" t="s">
        <v>104</v>
      </c>
      <c r="C45" s="194">
        <v>1822.708493150659</v>
      </c>
      <c r="D45" s="194">
        <v>1820.1961643835357</v>
      </c>
      <c r="E45" s="194">
        <v>2.5123287671232908</v>
      </c>
      <c r="F45" s="194">
        <v>1287.8182273972602</v>
      </c>
      <c r="G45" s="194">
        <v>256.79125547945296</v>
      </c>
      <c r="H45" s="194">
        <v>55.239164383561686</v>
      </c>
      <c r="I45" s="194">
        <v>36.204164383561675</v>
      </c>
      <c r="J45" s="194">
        <v>2.1606027397260283</v>
      </c>
      <c r="K45" s="194">
        <v>5.9209315068493167</v>
      </c>
      <c r="L45" s="194">
        <v>47.653013698630133</v>
      </c>
      <c r="M45" s="194">
        <v>47.653013698630133</v>
      </c>
      <c r="N45" s="194"/>
      <c r="O45" s="194"/>
      <c r="P45" s="194">
        <v>-0.38269000000000003</v>
      </c>
      <c r="Q45" s="194">
        <v>1.780245273972604</v>
      </c>
      <c r="R45" s="194"/>
      <c r="S45" s="194">
        <v>1687.2639833561655</v>
      </c>
      <c r="T45" s="195">
        <v>0.92569052577334066</v>
      </c>
    </row>
    <row r="46" spans="1:20" x14ac:dyDescent="0.25">
      <c r="A46" s="192" t="s">
        <v>242</v>
      </c>
      <c r="B46" s="120" t="s">
        <v>132</v>
      </c>
      <c r="C46" s="194">
        <v>4866.0683561643782</v>
      </c>
      <c r="D46" s="194">
        <v>4864.1038356164327</v>
      </c>
      <c r="E46" s="194">
        <v>1.964520547945209</v>
      </c>
      <c r="F46" s="194">
        <v>3758.9742739727189</v>
      </c>
      <c r="G46" s="194">
        <v>640.06636687669152</v>
      </c>
      <c r="H46" s="194">
        <v>165.67538630137003</v>
      </c>
      <c r="I46" s="194">
        <v>10.157794520547952</v>
      </c>
      <c r="J46" s="194">
        <v>1.6894876712328804</v>
      </c>
      <c r="K46" s="194">
        <v>17.413841095890415</v>
      </c>
      <c r="L46" s="194">
        <v>172.83693150684906</v>
      </c>
      <c r="M46" s="194">
        <v>172.83693150684906</v>
      </c>
      <c r="N46" s="194"/>
      <c r="O46" s="194"/>
      <c r="P46" s="194"/>
      <c r="Q46" s="194">
        <v>2.2711150000000022</v>
      </c>
      <c r="R46" s="194">
        <v>0.87601095890410952</v>
      </c>
      <c r="S46" s="194">
        <v>4752.547366808315</v>
      </c>
      <c r="T46" s="195">
        <v>0.97667090121898437</v>
      </c>
    </row>
    <row r="47" spans="1:20" x14ac:dyDescent="0.25">
      <c r="A47" s="192" t="s">
        <v>271</v>
      </c>
      <c r="B47" s="120" t="s">
        <v>111</v>
      </c>
      <c r="C47" s="194">
        <v>3673.0433424657717</v>
      </c>
      <c r="D47" s="194">
        <v>3650.0488219178264</v>
      </c>
      <c r="E47" s="194">
        <v>22.994520547945218</v>
      </c>
      <c r="F47" s="194">
        <v>2790.6367419178046</v>
      </c>
      <c r="G47" s="194">
        <v>617.95836315068311</v>
      </c>
      <c r="H47" s="194">
        <v>100.98690410958903</v>
      </c>
      <c r="I47" s="194">
        <v>0.79964383561643826</v>
      </c>
      <c r="J47" s="194">
        <v>19.775287671232704</v>
      </c>
      <c r="K47" s="194">
        <v>9.5737315068493256</v>
      </c>
      <c r="L47" s="194">
        <v>152.45073972602674</v>
      </c>
      <c r="M47" s="194">
        <v>152.45073972602674</v>
      </c>
      <c r="N47" s="194">
        <v>56.900542465754384</v>
      </c>
      <c r="O47" s="194">
        <v>56.900542465754384</v>
      </c>
      <c r="P47" s="194"/>
      <c r="Q47" s="194">
        <v>2.4877276712328764</v>
      </c>
      <c r="R47" s="194">
        <v>14.137863013698622</v>
      </c>
      <c r="S47" s="194">
        <v>3756.1338135616379</v>
      </c>
      <c r="T47" s="195">
        <v>1.0226216963288206</v>
      </c>
    </row>
    <row r="48" spans="1:20" x14ac:dyDescent="0.25">
      <c r="A48" s="192" t="s">
        <v>328</v>
      </c>
      <c r="B48" s="120" t="s">
        <v>69</v>
      </c>
      <c r="C48" s="194">
        <v>2107.8941095889854</v>
      </c>
      <c r="D48" s="194">
        <v>2107.8941095889854</v>
      </c>
      <c r="E48" s="194"/>
      <c r="F48" s="194">
        <v>1797.8113863013355</v>
      </c>
      <c r="G48" s="194">
        <v>192.96298517808219</v>
      </c>
      <c r="H48" s="194">
        <v>58.204027397260255</v>
      </c>
      <c r="I48" s="194">
        <v>9.9511232876712317</v>
      </c>
      <c r="J48" s="194"/>
      <c r="K48" s="194">
        <v>7.2978082191780835</v>
      </c>
      <c r="L48" s="194">
        <v>121.42191780821841</v>
      </c>
      <c r="M48" s="194">
        <v>121.42191780821841</v>
      </c>
      <c r="N48" s="194">
        <v>22.526383561643925</v>
      </c>
      <c r="O48" s="194">
        <v>22.526383561643925</v>
      </c>
      <c r="P48" s="194"/>
      <c r="Q48" s="194">
        <v>3.1604122602739659</v>
      </c>
      <c r="R48" s="194">
        <v>5.7397304109588987</v>
      </c>
      <c r="S48" s="194">
        <v>2211.7779662054445</v>
      </c>
      <c r="T48" s="195">
        <v>1.0492832425233725</v>
      </c>
    </row>
    <row r="49" spans="1:20" x14ac:dyDescent="0.25">
      <c r="A49" s="192" t="s">
        <v>253</v>
      </c>
      <c r="B49" s="120" t="s">
        <v>126</v>
      </c>
      <c r="C49" s="194">
        <v>63.276712328767154</v>
      </c>
      <c r="D49" s="194">
        <v>63.276712328767154</v>
      </c>
      <c r="E49" s="194"/>
      <c r="F49" s="194">
        <v>92.068602739726117</v>
      </c>
      <c r="G49" s="194"/>
      <c r="H49" s="194"/>
      <c r="I49" s="194"/>
      <c r="J49" s="194"/>
      <c r="K49" s="194">
        <v>0.18854794520547938</v>
      </c>
      <c r="L49" s="194">
        <v>0.87671232876712324</v>
      </c>
      <c r="M49" s="194">
        <v>0.87671232876712324</v>
      </c>
      <c r="N49" s="194"/>
      <c r="O49" s="194"/>
      <c r="P49" s="194"/>
      <c r="Q49" s="194"/>
      <c r="R49" s="194"/>
      <c r="S49" s="194">
        <v>92.945315068493244</v>
      </c>
      <c r="T49" s="195">
        <v>1.4688708001385533</v>
      </c>
    </row>
    <row r="50" spans="1:20" x14ac:dyDescent="0.25">
      <c r="A50" s="192" t="s">
        <v>236</v>
      </c>
      <c r="B50" s="120" t="s">
        <v>137</v>
      </c>
      <c r="C50" s="194">
        <v>1011.0405479452204</v>
      </c>
      <c r="D50" s="194">
        <v>1009.7583561643985</v>
      </c>
      <c r="E50" s="194">
        <v>1.2821917808219205</v>
      </c>
      <c r="F50" s="194">
        <v>838.08132054794692</v>
      </c>
      <c r="G50" s="194">
        <v>64.567685479452379</v>
      </c>
      <c r="H50" s="194">
        <v>25.318191780821913</v>
      </c>
      <c r="I50" s="194"/>
      <c r="J50" s="194">
        <v>1.1026849315068512</v>
      </c>
      <c r="K50" s="194">
        <v>4.5289315068493163</v>
      </c>
      <c r="L50" s="194">
        <v>69.576027397260106</v>
      </c>
      <c r="M50" s="194">
        <v>69.576027397260106</v>
      </c>
      <c r="N50" s="194"/>
      <c r="O50" s="194"/>
      <c r="P50" s="194"/>
      <c r="Q50" s="194">
        <v>1.5242578082191789</v>
      </c>
      <c r="R50" s="194"/>
      <c r="S50" s="194">
        <v>1000.1701679452074</v>
      </c>
      <c r="T50" s="195">
        <v>0.98924832439004873</v>
      </c>
    </row>
    <row r="51" spans="1:20" x14ac:dyDescent="0.25">
      <c r="A51" s="192" t="s">
        <v>262</v>
      </c>
      <c r="B51" s="120" t="s">
        <v>117</v>
      </c>
      <c r="C51" s="194">
        <v>100.51506849315072</v>
      </c>
      <c r="D51" s="194">
        <v>100.51506849315072</v>
      </c>
      <c r="E51" s="194"/>
      <c r="F51" s="194">
        <v>99.509917808219726</v>
      </c>
      <c r="G51" s="194"/>
      <c r="H51" s="194"/>
      <c r="I51" s="194"/>
      <c r="J51" s="194"/>
      <c r="K51" s="194">
        <v>0.52060273972602755</v>
      </c>
      <c r="L51" s="194">
        <v>12.205479452054803</v>
      </c>
      <c r="M51" s="194">
        <v>12.205479452054803</v>
      </c>
      <c r="N51" s="194">
        <v>25.717671232876704</v>
      </c>
      <c r="O51" s="194">
        <v>25.717671232876704</v>
      </c>
      <c r="P51" s="194"/>
      <c r="Q51" s="194"/>
      <c r="R51" s="194"/>
      <c r="S51" s="194">
        <v>137.43306849315121</v>
      </c>
      <c r="T51" s="195">
        <v>1.3672882141299656</v>
      </c>
    </row>
    <row r="52" spans="1:20" x14ac:dyDescent="0.25">
      <c r="A52" s="192" t="s">
        <v>357</v>
      </c>
      <c r="B52" s="120" t="s">
        <v>40</v>
      </c>
      <c r="C52" s="194">
        <v>49.506849315068536</v>
      </c>
      <c r="D52" s="194">
        <v>49.506849315068536</v>
      </c>
      <c r="E52" s="194"/>
      <c r="F52" s="194">
        <v>37.685095890411148</v>
      </c>
      <c r="G52" s="194">
        <v>8.7215473972602719</v>
      </c>
      <c r="H52" s="194"/>
      <c r="I52" s="194"/>
      <c r="J52" s="194"/>
      <c r="K52" s="194"/>
      <c r="L52" s="194">
        <v>4.6767123287671328</v>
      </c>
      <c r="M52" s="194">
        <v>4.6767123287671328</v>
      </c>
      <c r="N52" s="194">
        <v>11.933808219178077</v>
      </c>
      <c r="O52" s="194">
        <v>11.123123287671239</v>
      </c>
      <c r="P52" s="194"/>
      <c r="Q52" s="194"/>
      <c r="R52" s="194"/>
      <c r="S52" s="194">
        <v>62.206478904109794</v>
      </c>
      <c r="T52" s="195">
        <v>1.2565226784726096</v>
      </c>
    </row>
    <row r="53" spans="1:20" x14ac:dyDescent="0.25">
      <c r="A53" s="192" t="s">
        <v>356</v>
      </c>
      <c r="B53" s="120" t="s">
        <v>41</v>
      </c>
      <c r="C53" s="194">
        <v>1375.3767945205332</v>
      </c>
      <c r="D53" s="194">
        <v>1375.2343287671085</v>
      </c>
      <c r="E53" s="194">
        <v>0.14246575342465753</v>
      </c>
      <c r="F53" s="194">
        <v>934.09145178081462</v>
      </c>
      <c r="G53" s="194">
        <v>361.96907933698526</v>
      </c>
      <c r="H53" s="194">
        <v>29.395216438356162</v>
      </c>
      <c r="I53" s="194">
        <v>1.7885753424657531</v>
      </c>
      <c r="J53" s="194">
        <v>0.12252054794520548</v>
      </c>
      <c r="K53" s="194">
        <v>3.018493150684928</v>
      </c>
      <c r="L53" s="194">
        <v>59.115750684931534</v>
      </c>
      <c r="M53" s="194">
        <v>59.115750684931534</v>
      </c>
      <c r="N53" s="194">
        <v>3.6817808219178096</v>
      </c>
      <c r="O53" s="194">
        <v>3.6817808219178096</v>
      </c>
      <c r="P53" s="194"/>
      <c r="Q53" s="194">
        <v>1.2386920821917806</v>
      </c>
      <c r="R53" s="194">
        <v>2.1496986301369869</v>
      </c>
      <c r="S53" s="194">
        <v>1393.552765665745</v>
      </c>
      <c r="T53" s="195">
        <v>1.0132152666946426</v>
      </c>
    </row>
    <row r="54" spans="1:20" x14ac:dyDescent="0.25">
      <c r="A54" s="192" t="s">
        <v>334</v>
      </c>
      <c r="B54" s="120" t="s">
        <v>65</v>
      </c>
      <c r="C54" s="194">
        <v>16.555616438356161</v>
      </c>
      <c r="D54" s="194">
        <v>16.555616438356161</v>
      </c>
      <c r="E54" s="194"/>
      <c r="F54" s="194">
        <v>2.6797808219178081</v>
      </c>
      <c r="G54" s="194">
        <v>10.556915178082193</v>
      </c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>
        <v>13.236696</v>
      </c>
      <c r="T54" s="195">
        <v>0.7995290328986564</v>
      </c>
    </row>
    <row r="55" spans="1:20" x14ac:dyDescent="0.25">
      <c r="A55" s="192" t="s">
        <v>321</v>
      </c>
      <c r="B55" s="120" t="s">
        <v>73</v>
      </c>
      <c r="C55" s="194">
        <v>47.769863013698611</v>
      </c>
      <c r="D55" s="194">
        <v>47.769863013698611</v>
      </c>
      <c r="E55" s="194"/>
      <c r="F55" s="194">
        <v>75.954082191780714</v>
      </c>
      <c r="G55" s="194"/>
      <c r="H55" s="194"/>
      <c r="I55" s="194"/>
      <c r="J55" s="194"/>
      <c r="K55" s="194">
        <v>2.3342465753424656E-2</v>
      </c>
      <c r="L55" s="194">
        <v>3.6986301369863014E-2</v>
      </c>
      <c r="M55" s="194">
        <v>3.6986301369863014E-2</v>
      </c>
      <c r="N55" s="194"/>
      <c r="O55" s="194"/>
      <c r="P55" s="194"/>
      <c r="Q55" s="194"/>
      <c r="R55" s="194"/>
      <c r="S55" s="194">
        <v>75.991068493150578</v>
      </c>
      <c r="T55" s="195">
        <v>1.5907742601514094</v>
      </c>
    </row>
    <row r="56" spans="1:20" x14ac:dyDescent="0.25">
      <c r="A56" s="192" t="s">
        <v>320</v>
      </c>
      <c r="B56" s="120" t="s">
        <v>74</v>
      </c>
      <c r="C56" s="194">
        <v>73.345205479451991</v>
      </c>
      <c r="D56" s="194">
        <v>73.345205479451991</v>
      </c>
      <c r="E56" s="194"/>
      <c r="F56" s="194">
        <v>67.667178082191867</v>
      </c>
      <c r="G56" s="194">
        <v>3.80732301369863</v>
      </c>
      <c r="H56" s="194"/>
      <c r="I56" s="194"/>
      <c r="J56" s="194"/>
      <c r="K56" s="194">
        <v>0.12246575342465749</v>
      </c>
      <c r="L56" s="194">
        <v>10.039726027397263</v>
      </c>
      <c r="M56" s="194">
        <v>10.039726027397263</v>
      </c>
      <c r="N56" s="194"/>
      <c r="O56" s="194"/>
      <c r="P56" s="194"/>
      <c r="Q56" s="194"/>
      <c r="R56" s="194"/>
      <c r="S56" s="194">
        <v>81.514227123287768</v>
      </c>
      <c r="T56" s="195">
        <v>1.111377718426658</v>
      </c>
    </row>
    <row r="57" spans="1:20" x14ac:dyDescent="0.25">
      <c r="A57" s="192" t="s">
        <v>287</v>
      </c>
      <c r="B57" s="120" t="s">
        <v>101</v>
      </c>
      <c r="C57" s="194">
        <v>64.654794520547938</v>
      </c>
      <c r="D57" s="194">
        <v>64.654794520547938</v>
      </c>
      <c r="E57" s="194"/>
      <c r="F57" s="194">
        <v>63.197260273972681</v>
      </c>
      <c r="G57" s="194">
        <v>0.62445945205479458</v>
      </c>
      <c r="H57" s="194"/>
      <c r="I57" s="194"/>
      <c r="J57" s="194"/>
      <c r="K57" s="194">
        <v>0.1390684931506849</v>
      </c>
      <c r="L57" s="194"/>
      <c r="M57" s="194"/>
      <c r="N57" s="194">
        <v>6.0547671232876743</v>
      </c>
      <c r="O57" s="194">
        <v>6.0547671232876743</v>
      </c>
      <c r="P57" s="194"/>
      <c r="Q57" s="194"/>
      <c r="R57" s="194"/>
      <c r="S57" s="194">
        <v>69.876486849315143</v>
      </c>
      <c r="T57" s="195">
        <v>1.0807626467223199</v>
      </c>
    </row>
    <row r="58" spans="1:20" x14ac:dyDescent="0.25">
      <c r="A58" s="192" t="s">
        <v>349</v>
      </c>
      <c r="B58" s="120" t="s">
        <v>531</v>
      </c>
      <c r="C58" s="194">
        <v>6228.4827397256859</v>
      </c>
      <c r="D58" s="194">
        <v>6225.8032876708912</v>
      </c>
      <c r="E58" s="194">
        <v>2.6794520547945306</v>
      </c>
      <c r="F58" s="194">
        <v>5185.1934561642111</v>
      </c>
      <c r="G58" s="194">
        <v>861.25844546574945</v>
      </c>
      <c r="H58" s="194">
        <v>158.08881369863013</v>
      </c>
      <c r="I58" s="194">
        <v>6.5366054794520556</v>
      </c>
      <c r="J58" s="194">
        <v>2.3043287671232968</v>
      </c>
      <c r="K58" s="194">
        <v>22.564668493150709</v>
      </c>
      <c r="L58" s="194">
        <v>285.05381643835671</v>
      </c>
      <c r="M58" s="194">
        <v>285.05381643835671</v>
      </c>
      <c r="N58" s="194">
        <v>73.128745205480328</v>
      </c>
      <c r="O58" s="194">
        <v>73.128745205480328</v>
      </c>
      <c r="P58" s="194"/>
      <c r="Q58" s="194">
        <v>9.7959691780822151</v>
      </c>
      <c r="R58" s="194">
        <v>4.0749589041095904</v>
      </c>
      <c r="S58" s="194">
        <v>6585.4351393011957</v>
      </c>
      <c r="T58" s="195">
        <v>1.057309687526119</v>
      </c>
    </row>
    <row r="59" spans="1:20" x14ac:dyDescent="0.25">
      <c r="A59" s="192" t="s">
        <v>343</v>
      </c>
      <c r="B59" s="120" t="s">
        <v>53</v>
      </c>
      <c r="C59" s="194">
        <v>11.34717808219178</v>
      </c>
      <c r="D59" s="194">
        <v>11.34717808219178</v>
      </c>
      <c r="E59" s="194"/>
      <c r="F59" s="194"/>
      <c r="G59" s="194">
        <v>8.6499538520547929</v>
      </c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>
        <v>8.6499538520547929</v>
      </c>
      <c r="T59" s="195">
        <v>0.76229999999999987</v>
      </c>
    </row>
    <row r="60" spans="1:20" x14ac:dyDescent="0.25">
      <c r="A60" s="192" t="s">
        <v>219</v>
      </c>
      <c r="B60" s="120" t="s">
        <v>143</v>
      </c>
      <c r="C60" s="194">
        <v>1602.1050684931038</v>
      </c>
      <c r="D60" s="194">
        <v>1601.389999999953</v>
      </c>
      <c r="E60" s="194">
        <v>0.71506849315068333</v>
      </c>
      <c r="F60" s="194">
        <v>1427.4676876712249</v>
      </c>
      <c r="G60" s="194">
        <v>219.69414801370021</v>
      </c>
      <c r="H60" s="194">
        <v>21.486082191780831</v>
      </c>
      <c r="I60" s="194"/>
      <c r="J60" s="194">
        <v>0.61495890410958931</v>
      </c>
      <c r="K60" s="194">
        <v>6.5547945205479419</v>
      </c>
      <c r="L60" s="194">
        <v>56.895342465753458</v>
      </c>
      <c r="M60" s="194">
        <v>56.895342465753458</v>
      </c>
      <c r="N60" s="194">
        <v>36.26917808219212</v>
      </c>
      <c r="O60" s="194">
        <v>36.26917808219212</v>
      </c>
      <c r="P60" s="194"/>
      <c r="Q60" s="194">
        <v>4.1794521917807907</v>
      </c>
      <c r="R60" s="194"/>
      <c r="S60" s="194">
        <v>1766.6068495205418</v>
      </c>
      <c r="T60" s="195">
        <v>1.1026785223157474</v>
      </c>
    </row>
    <row r="61" spans="1:20" x14ac:dyDescent="0.25">
      <c r="A61" s="192" t="s">
        <v>259</v>
      </c>
      <c r="B61" s="120" t="s">
        <v>524</v>
      </c>
      <c r="C61" s="194">
        <v>708.74438356167775</v>
      </c>
      <c r="D61" s="194">
        <v>654.97123287674606</v>
      </c>
      <c r="E61" s="194">
        <v>53.773150684931714</v>
      </c>
      <c r="F61" s="194">
        <v>175.40688493150932</v>
      </c>
      <c r="G61" s="194">
        <v>270.41175172602692</v>
      </c>
      <c r="H61" s="194"/>
      <c r="I61" s="194"/>
      <c r="J61" s="194">
        <v>46.244909589041171</v>
      </c>
      <c r="K61" s="194">
        <v>1.0257534246575342E-2</v>
      </c>
      <c r="L61" s="194"/>
      <c r="M61" s="194"/>
      <c r="N61" s="194">
        <v>1.6521726027397257</v>
      </c>
      <c r="O61" s="194">
        <v>1.6521726027397257</v>
      </c>
      <c r="P61" s="194"/>
      <c r="Q61" s="194">
        <v>16.047879452054783</v>
      </c>
      <c r="R61" s="194"/>
      <c r="S61" s="194">
        <v>509.76359830137187</v>
      </c>
      <c r="T61" s="195">
        <v>0.71924887184239705</v>
      </c>
    </row>
    <row r="62" spans="1:20" x14ac:dyDescent="0.25">
      <c r="A62" s="192" t="s">
        <v>324</v>
      </c>
      <c r="B62" s="120" t="s">
        <v>59</v>
      </c>
      <c r="C62" s="194">
        <v>2651.4073972602246</v>
      </c>
      <c r="D62" s="194">
        <v>2638.1306849314574</v>
      </c>
      <c r="E62" s="194">
        <v>13.27671232876714</v>
      </c>
      <c r="F62" s="194">
        <v>2371.9174178082317</v>
      </c>
      <c r="G62" s="194">
        <v>309.75195884931344</v>
      </c>
      <c r="H62" s="194">
        <v>67.537068493150684</v>
      </c>
      <c r="I62" s="194">
        <v>13.366799999999994</v>
      </c>
      <c r="J62" s="194">
        <v>11.417972602739713</v>
      </c>
      <c r="K62" s="194">
        <v>11.197578082191779</v>
      </c>
      <c r="L62" s="194">
        <v>222.63891780821987</v>
      </c>
      <c r="M62" s="194">
        <v>222.63891780821987</v>
      </c>
      <c r="N62" s="194">
        <v>63.611526027397986</v>
      </c>
      <c r="O62" s="194">
        <v>63.611526027397986</v>
      </c>
      <c r="P62" s="194"/>
      <c r="Q62" s="194">
        <v>4.238776438356151</v>
      </c>
      <c r="R62" s="194"/>
      <c r="S62" s="194">
        <v>3064.4804380274095</v>
      </c>
      <c r="T62" s="195">
        <v>1.1557938780717134</v>
      </c>
    </row>
    <row r="63" spans="1:20" x14ac:dyDescent="0.25">
      <c r="A63" s="192" t="s">
        <v>317</v>
      </c>
      <c r="B63" s="120" t="s">
        <v>164</v>
      </c>
      <c r="C63" s="194">
        <v>28.312328767123272</v>
      </c>
      <c r="D63" s="194">
        <v>28.312328767123272</v>
      </c>
      <c r="E63" s="194"/>
      <c r="F63" s="194"/>
      <c r="G63" s="194">
        <v>26.814606575342435</v>
      </c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>
        <v>26.814606575342435</v>
      </c>
      <c r="T63" s="195">
        <v>0.94709999999999905</v>
      </c>
    </row>
    <row r="64" spans="1:20" x14ac:dyDescent="0.25">
      <c r="A64" s="192" t="s">
        <v>371</v>
      </c>
      <c r="B64" s="120" t="s">
        <v>459</v>
      </c>
      <c r="C64" s="194">
        <v>17.101369863013694</v>
      </c>
      <c r="D64" s="194">
        <v>17.101369863013694</v>
      </c>
      <c r="E64" s="194"/>
      <c r="F64" s="194">
        <v>16.930356164383575</v>
      </c>
      <c r="G64" s="194"/>
      <c r="H64" s="194"/>
      <c r="I64" s="194"/>
      <c r="J64" s="194"/>
      <c r="K64" s="194">
        <v>6.9041095890410936E-2</v>
      </c>
      <c r="L64" s="194"/>
      <c r="M64" s="194"/>
      <c r="N64" s="194">
        <v>6.6060547945205466</v>
      </c>
      <c r="O64" s="194">
        <v>6.6060547945205466</v>
      </c>
      <c r="P64" s="194"/>
      <c r="Q64" s="194"/>
      <c r="R64" s="194"/>
      <c r="S64" s="194">
        <v>23.536410958904121</v>
      </c>
      <c r="T64" s="195">
        <v>1.3762880487023399</v>
      </c>
    </row>
    <row r="65" spans="1:20" x14ac:dyDescent="0.25">
      <c r="A65" s="192" t="s">
        <v>237</v>
      </c>
      <c r="B65" s="120" t="s">
        <v>136</v>
      </c>
      <c r="C65" s="194">
        <v>2476.8467945205248</v>
      </c>
      <c r="D65" s="194">
        <v>2476.8467945205248</v>
      </c>
      <c r="E65" s="194"/>
      <c r="F65" s="194">
        <v>1930.035904109589</v>
      </c>
      <c r="G65" s="194">
        <v>287.11762953424068</v>
      </c>
      <c r="H65" s="194">
        <v>95.74865753424659</v>
      </c>
      <c r="I65" s="194">
        <v>24.387205479452046</v>
      </c>
      <c r="J65" s="194"/>
      <c r="K65" s="194">
        <v>7.5450410958904115</v>
      </c>
      <c r="L65" s="194">
        <v>201.42465753424645</v>
      </c>
      <c r="M65" s="194">
        <v>201.42465753424645</v>
      </c>
      <c r="N65" s="194">
        <v>0.31934246575342462</v>
      </c>
      <c r="O65" s="194">
        <v>0.31934246575342462</v>
      </c>
      <c r="P65" s="194"/>
      <c r="Q65" s="194">
        <v>5.1006223972602776</v>
      </c>
      <c r="R65" s="194">
        <v>5.6270904109588979</v>
      </c>
      <c r="S65" s="194">
        <v>2549.7611094657468</v>
      </c>
      <c r="T65" s="195">
        <v>1.0294383629647714</v>
      </c>
    </row>
    <row r="66" spans="1:20" x14ac:dyDescent="0.25">
      <c r="A66" s="192" t="s">
        <v>369</v>
      </c>
      <c r="B66" s="120" t="s">
        <v>30</v>
      </c>
      <c r="C66" s="194">
        <v>120.18260273972585</v>
      </c>
      <c r="D66" s="194">
        <v>120.18260273972585</v>
      </c>
      <c r="E66" s="194"/>
      <c r="F66" s="194">
        <v>80.793998630137381</v>
      </c>
      <c r="G66" s="194">
        <v>24.999338958904119</v>
      </c>
      <c r="H66" s="194"/>
      <c r="I66" s="194">
        <v>0.91553424657534244</v>
      </c>
      <c r="J66" s="194"/>
      <c r="K66" s="194">
        <v>0.11589041095890408</v>
      </c>
      <c r="L66" s="194">
        <v>7.4547945205479538</v>
      </c>
      <c r="M66" s="194">
        <v>7.4547945205479538</v>
      </c>
      <c r="N66" s="194">
        <v>6.6253753424657447</v>
      </c>
      <c r="O66" s="194">
        <v>6.6253753424657447</v>
      </c>
      <c r="P66" s="194"/>
      <c r="Q66" s="194"/>
      <c r="R66" s="194"/>
      <c r="S66" s="194">
        <v>120.78904169863054</v>
      </c>
      <c r="T66" s="195">
        <v>1.0050459795767448</v>
      </c>
    </row>
    <row r="67" spans="1:20" x14ac:dyDescent="0.25">
      <c r="A67" s="192" t="s">
        <v>346</v>
      </c>
      <c r="B67" s="120" t="s">
        <v>201</v>
      </c>
      <c r="C67" s="194">
        <v>97.628219178082091</v>
      </c>
      <c r="D67" s="194">
        <v>97.628219178082091</v>
      </c>
      <c r="E67" s="194"/>
      <c r="F67" s="194">
        <v>77.136731506849685</v>
      </c>
      <c r="G67" s="194">
        <v>15.026708219178076</v>
      </c>
      <c r="H67" s="194"/>
      <c r="I67" s="194"/>
      <c r="J67" s="194"/>
      <c r="K67" s="194">
        <v>0.17934246575342461</v>
      </c>
      <c r="L67" s="194">
        <v>1.9</v>
      </c>
      <c r="M67" s="194">
        <v>1.9</v>
      </c>
      <c r="N67" s="194">
        <v>6.8883369863013701</v>
      </c>
      <c r="O67" s="194">
        <v>6.8883369863013701</v>
      </c>
      <c r="P67" s="194"/>
      <c r="Q67" s="194"/>
      <c r="R67" s="194"/>
      <c r="S67" s="194">
        <v>100.95177671232913</v>
      </c>
      <c r="T67" s="195">
        <v>1.0340430007043824</v>
      </c>
    </row>
    <row r="68" spans="1:20" x14ac:dyDescent="0.25">
      <c r="A68" s="192" t="s">
        <v>351</v>
      </c>
      <c r="B68" s="120" t="s">
        <v>44</v>
      </c>
      <c r="C68" s="194">
        <v>2632.7802739726185</v>
      </c>
      <c r="D68" s="194">
        <v>2616.0136986301527</v>
      </c>
      <c r="E68" s="194">
        <v>16.766575342465757</v>
      </c>
      <c r="F68" s="194">
        <v>2201.8683904109412</v>
      </c>
      <c r="G68" s="194">
        <v>303.78548516438394</v>
      </c>
      <c r="H68" s="194">
        <v>159.30450410958915</v>
      </c>
      <c r="I68" s="194">
        <v>6.3121643835616457</v>
      </c>
      <c r="J68" s="194">
        <v>14.419254794520544</v>
      </c>
      <c r="K68" s="194">
        <v>10.34436164383561</v>
      </c>
      <c r="L68" s="194">
        <v>158.65205205479441</v>
      </c>
      <c r="M68" s="194">
        <v>158.65205205479441</v>
      </c>
      <c r="N68" s="194">
        <v>51.130057534247342</v>
      </c>
      <c r="O68" s="194">
        <v>51.130057534247342</v>
      </c>
      <c r="P68" s="194">
        <v>-1.0727224657534247</v>
      </c>
      <c r="Q68" s="194">
        <v>2.9398468150684893</v>
      </c>
      <c r="R68" s="194">
        <v>61.026893150685027</v>
      </c>
      <c r="S68" s="194">
        <v>2958.3659259520377</v>
      </c>
      <c r="T68" s="195">
        <v>1.1236660936722052</v>
      </c>
    </row>
    <row r="69" spans="1:20" x14ac:dyDescent="0.25">
      <c r="A69" s="192" t="s">
        <v>283</v>
      </c>
      <c r="B69" s="120" t="s">
        <v>102</v>
      </c>
      <c r="C69" s="194">
        <v>1052.92479452056</v>
      </c>
      <c r="D69" s="194">
        <v>1052.92479452056</v>
      </c>
      <c r="E69" s="194"/>
      <c r="F69" s="194">
        <v>1010.8436013698594</v>
      </c>
      <c r="G69" s="194">
        <v>127.64106043835638</v>
      </c>
      <c r="H69" s="194">
        <v>8.0794931506849288</v>
      </c>
      <c r="I69" s="194">
        <v>7.4266438356164386</v>
      </c>
      <c r="J69" s="194"/>
      <c r="K69" s="194">
        <v>3.8593972602739752</v>
      </c>
      <c r="L69" s="194">
        <v>69.158849315068437</v>
      </c>
      <c r="M69" s="194">
        <v>69.158849315068437</v>
      </c>
      <c r="N69" s="194">
        <v>24.064493150684985</v>
      </c>
      <c r="O69" s="194">
        <v>24.064493150684985</v>
      </c>
      <c r="P69" s="194"/>
      <c r="Q69" s="194">
        <v>4.3706940410958861</v>
      </c>
      <c r="R69" s="194"/>
      <c r="S69" s="194">
        <v>1251.5848353013666</v>
      </c>
      <c r="T69" s="195">
        <v>1.1886744825600415</v>
      </c>
    </row>
    <row r="70" spans="1:20" x14ac:dyDescent="0.25">
      <c r="A70" s="192" t="s">
        <v>276</v>
      </c>
      <c r="B70" s="120" t="s">
        <v>108</v>
      </c>
      <c r="C70" s="194">
        <v>65.22547945205477</v>
      </c>
      <c r="D70" s="194">
        <v>65.22547945205477</v>
      </c>
      <c r="E70" s="194"/>
      <c r="F70" s="194">
        <v>32.371101369863105</v>
      </c>
      <c r="G70" s="194">
        <v>24.795634931506846</v>
      </c>
      <c r="H70" s="194"/>
      <c r="I70" s="194"/>
      <c r="J70" s="194"/>
      <c r="K70" s="194">
        <v>0.14268493150684927</v>
      </c>
      <c r="L70" s="194">
        <v>2.106849315068493</v>
      </c>
      <c r="M70" s="194">
        <v>2.106849315068493</v>
      </c>
      <c r="N70" s="194">
        <v>2.2494958904109592</v>
      </c>
      <c r="O70" s="194">
        <v>2.2494958904109592</v>
      </c>
      <c r="P70" s="194"/>
      <c r="Q70" s="194"/>
      <c r="R70" s="194"/>
      <c r="S70" s="194">
        <v>61.523081506849408</v>
      </c>
      <c r="T70" s="195">
        <v>0.94323693782999507</v>
      </c>
    </row>
    <row r="71" spans="1:20" x14ac:dyDescent="0.25">
      <c r="A71" s="192" t="s">
        <v>382</v>
      </c>
      <c r="B71" s="120" t="s">
        <v>198</v>
      </c>
      <c r="C71" s="194">
        <v>131.56712328767122</v>
      </c>
      <c r="D71" s="194">
        <v>131.56712328767122</v>
      </c>
      <c r="E71" s="194"/>
      <c r="F71" s="194"/>
      <c r="G71" s="194">
        <v>74.867089452054856</v>
      </c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>
        <v>74.867089452054856</v>
      </c>
      <c r="T71" s="195">
        <v>0.5690410155761948</v>
      </c>
    </row>
    <row r="72" spans="1:20" x14ac:dyDescent="0.25">
      <c r="A72" s="192" t="s">
        <v>254</v>
      </c>
      <c r="B72" s="120" t="s">
        <v>125</v>
      </c>
      <c r="C72" s="194">
        <v>8072.1359999987326</v>
      </c>
      <c r="D72" s="194">
        <v>8061.8136712316091</v>
      </c>
      <c r="E72" s="194">
        <v>10.322328767123292</v>
      </c>
      <c r="F72" s="194">
        <v>7088.6531550681384</v>
      </c>
      <c r="G72" s="194">
        <v>644.72928646574462</v>
      </c>
      <c r="H72" s="194">
        <v>271.45397260273916</v>
      </c>
      <c r="I72" s="194">
        <v>3.1213150684931517</v>
      </c>
      <c r="J72" s="194">
        <v>8.877202739726032</v>
      </c>
      <c r="K72" s="194">
        <v>32.336663013698661</v>
      </c>
      <c r="L72" s="194">
        <v>690.93169863012565</v>
      </c>
      <c r="M72" s="194">
        <v>690.93169863012565</v>
      </c>
      <c r="N72" s="194">
        <v>11.103945205479429</v>
      </c>
      <c r="O72" s="194">
        <v>11.103945205479429</v>
      </c>
      <c r="P72" s="194"/>
      <c r="Q72" s="194">
        <v>10.523589383561681</v>
      </c>
      <c r="R72" s="194"/>
      <c r="S72" s="194">
        <v>8729.3941651640089</v>
      </c>
      <c r="T72" s="195">
        <v>1.0814230787446462</v>
      </c>
    </row>
    <row r="73" spans="1:20" x14ac:dyDescent="0.25">
      <c r="A73" s="192" t="s">
        <v>296</v>
      </c>
      <c r="B73" s="120" t="s">
        <v>96</v>
      </c>
      <c r="C73" s="194">
        <v>5095.6335068487178</v>
      </c>
      <c r="D73" s="194">
        <v>5059.1012054788544</v>
      </c>
      <c r="E73" s="194">
        <v>36.532301369863063</v>
      </c>
      <c r="F73" s="194">
        <v>4676.4529175342914</v>
      </c>
      <c r="G73" s="194">
        <v>465.06655031507671</v>
      </c>
      <c r="H73" s="194">
        <v>71.401627397260242</v>
      </c>
      <c r="I73" s="194">
        <v>8.7365917808219198</v>
      </c>
      <c r="J73" s="194">
        <v>31.417779178082125</v>
      </c>
      <c r="K73" s="194">
        <v>16.242889315068506</v>
      </c>
      <c r="L73" s="194">
        <v>297.23519452054865</v>
      </c>
      <c r="M73" s="194">
        <v>297.23519452054865</v>
      </c>
      <c r="N73" s="194">
        <v>120.38164520548166</v>
      </c>
      <c r="O73" s="194">
        <v>120.38164520548166</v>
      </c>
      <c r="P73" s="194"/>
      <c r="Q73" s="194">
        <v>7.7897468493149757</v>
      </c>
      <c r="R73" s="194">
        <v>1.4115068493150684</v>
      </c>
      <c r="S73" s="194">
        <v>5679.8935596301917</v>
      </c>
      <c r="T73" s="195">
        <v>1.1146589628151606</v>
      </c>
    </row>
    <row r="74" spans="1:20" x14ac:dyDescent="0.25">
      <c r="A74" s="192" t="s">
        <v>344</v>
      </c>
      <c r="B74" s="120" t="s">
        <v>52</v>
      </c>
      <c r="C74" s="194">
        <v>62.035616438356101</v>
      </c>
      <c r="D74" s="194">
        <v>45.454794520547878</v>
      </c>
      <c r="E74" s="194">
        <v>16.580821917808226</v>
      </c>
      <c r="F74" s="194"/>
      <c r="G74" s="194">
        <v>43.050235890410974</v>
      </c>
      <c r="H74" s="194"/>
      <c r="I74" s="194"/>
      <c r="J74" s="194">
        <v>14.259506849315038</v>
      </c>
      <c r="K74" s="194"/>
      <c r="L74" s="194"/>
      <c r="M74" s="194"/>
      <c r="N74" s="194"/>
      <c r="O74" s="194"/>
      <c r="P74" s="194"/>
      <c r="Q74" s="194"/>
      <c r="R74" s="194"/>
      <c r="S74" s="194">
        <v>57.309742739726012</v>
      </c>
      <c r="T74" s="195">
        <v>0.92381999293379857</v>
      </c>
    </row>
    <row r="75" spans="1:20" x14ac:dyDescent="0.25">
      <c r="A75" s="192" t="s">
        <v>318</v>
      </c>
      <c r="B75" s="120" t="s">
        <v>60</v>
      </c>
      <c r="C75" s="194">
        <v>5959.9879452048981</v>
      </c>
      <c r="D75" s="194">
        <v>5948.4783561638023</v>
      </c>
      <c r="E75" s="194">
        <v>11.509589041095873</v>
      </c>
      <c r="F75" s="194">
        <v>4984.4223095890911</v>
      </c>
      <c r="G75" s="194">
        <v>789.81093550683897</v>
      </c>
      <c r="H75" s="194">
        <v>93.295643835616289</v>
      </c>
      <c r="I75" s="194">
        <v>30.179794520547979</v>
      </c>
      <c r="J75" s="194">
        <v>9.8982465753424673</v>
      </c>
      <c r="K75" s="194">
        <v>19.055178082191777</v>
      </c>
      <c r="L75" s="194">
        <v>257.77495890411012</v>
      </c>
      <c r="M75" s="194">
        <v>257.77495890411012</v>
      </c>
      <c r="N75" s="194">
        <v>54.927282191781593</v>
      </c>
      <c r="O75" s="194">
        <v>54.927282191781593</v>
      </c>
      <c r="P75" s="194"/>
      <c r="Q75" s="194">
        <v>1.7064882876712337</v>
      </c>
      <c r="R75" s="194">
        <v>35.387616438356261</v>
      </c>
      <c r="S75" s="194">
        <v>6257.4032758493559</v>
      </c>
      <c r="T75" s="195">
        <v>1.0499020020474719</v>
      </c>
    </row>
    <row r="76" spans="1:20" x14ac:dyDescent="0.25">
      <c r="A76" s="192" t="s">
        <v>345</v>
      </c>
      <c r="B76" s="120" t="s">
        <v>51</v>
      </c>
      <c r="C76" s="194">
        <v>91.429863013698565</v>
      </c>
      <c r="D76" s="194">
        <v>91.429863013698565</v>
      </c>
      <c r="E76" s="194"/>
      <c r="F76" s="194">
        <v>87.688232876712902</v>
      </c>
      <c r="G76" s="194">
        <v>0.30784389041095889</v>
      </c>
      <c r="H76" s="194"/>
      <c r="I76" s="194">
        <v>3.4573972602739715</v>
      </c>
      <c r="J76" s="194"/>
      <c r="K76" s="194">
        <v>7.002739726027396E-2</v>
      </c>
      <c r="L76" s="194">
        <v>6.0068493150685036</v>
      </c>
      <c r="M76" s="194">
        <v>6.0068493150685036</v>
      </c>
      <c r="N76" s="194">
        <v>11.542342465753427</v>
      </c>
      <c r="O76" s="194">
        <v>11.542342465753427</v>
      </c>
      <c r="P76" s="194"/>
      <c r="Q76" s="194"/>
      <c r="R76" s="194"/>
      <c r="S76" s="194">
        <v>109.00266580821977</v>
      </c>
      <c r="T76" s="195">
        <v>1.1921998154135738</v>
      </c>
    </row>
    <row r="77" spans="1:20" x14ac:dyDescent="0.25">
      <c r="A77" s="192" t="s">
        <v>221</v>
      </c>
      <c r="B77" s="120" t="s">
        <v>142</v>
      </c>
      <c r="C77" s="194">
        <v>1535.916712328755</v>
      </c>
      <c r="D77" s="194">
        <v>1502.1336986301249</v>
      </c>
      <c r="E77" s="194">
        <v>33.783013698630214</v>
      </c>
      <c r="F77" s="194">
        <v>1316.8192602739452</v>
      </c>
      <c r="G77" s="194">
        <v>325.91687052054931</v>
      </c>
      <c r="H77" s="194">
        <v>31.452657534246576</v>
      </c>
      <c r="I77" s="194">
        <v>5.6400000000000015</v>
      </c>
      <c r="J77" s="194">
        <v>29.053391780821819</v>
      </c>
      <c r="K77" s="194">
        <v>4.198191780821916</v>
      </c>
      <c r="L77" s="194">
        <v>94.151999999999475</v>
      </c>
      <c r="M77" s="194">
        <v>94.151999999999475</v>
      </c>
      <c r="N77" s="194">
        <v>41.916926027397679</v>
      </c>
      <c r="O77" s="194">
        <v>41.916926027397679</v>
      </c>
      <c r="P77" s="194"/>
      <c r="Q77" s="194">
        <v>2.0362069863013703</v>
      </c>
      <c r="R77" s="194">
        <v>1.888438356164384</v>
      </c>
      <c r="S77" s="194">
        <v>1848.8757514794258</v>
      </c>
      <c r="T77" s="195">
        <v>1.2037604231001313</v>
      </c>
    </row>
    <row r="78" spans="1:20" x14ac:dyDescent="0.25">
      <c r="A78" s="192" t="s">
        <v>285</v>
      </c>
      <c r="B78" s="120" t="s">
        <v>98</v>
      </c>
      <c r="C78" s="194">
        <v>47.526027397260314</v>
      </c>
      <c r="D78" s="194">
        <v>47.526027397260314</v>
      </c>
      <c r="E78" s="194"/>
      <c r="F78" s="194">
        <v>46.863616438356161</v>
      </c>
      <c r="G78" s="194"/>
      <c r="H78" s="194"/>
      <c r="I78" s="194">
        <v>0.26654794520547942</v>
      </c>
      <c r="J78" s="194"/>
      <c r="K78" s="194">
        <v>2.5150684931506847E-2</v>
      </c>
      <c r="L78" s="194">
        <v>1.7684931506849311</v>
      </c>
      <c r="M78" s="194">
        <v>1.7684931506849311</v>
      </c>
      <c r="N78" s="194">
        <v>4.342630136986303</v>
      </c>
      <c r="O78" s="194">
        <v>4.342630136986303</v>
      </c>
      <c r="P78" s="194"/>
      <c r="Q78" s="194"/>
      <c r="R78" s="194"/>
      <c r="S78" s="194">
        <v>53.241287671232875</v>
      </c>
      <c r="T78" s="195">
        <v>1.1202553755692617</v>
      </c>
    </row>
    <row r="79" spans="1:20" x14ac:dyDescent="0.25">
      <c r="A79" s="192" t="s">
        <v>347</v>
      </c>
      <c r="B79" s="120" t="s">
        <v>50</v>
      </c>
      <c r="C79" s="194">
        <v>2813.3688767123272</v>
      </c>
      <c r="D79" s="194">
        <v>2808.5168219178067</v>
      </c>
      <c r="E79" s="194">
        <v>4.8520547945205506</v>
      </c>
      <c r="F79" s="194">
        <v>2322.4332095890204</v>
      </c>
      <c r="G79" s="194">
        <v>477.42296625205023</v>
      </c>
      <c r="H79" s="194">
        <v>47.368273972602708</v>
      </c>
      <c r="I79" s="194">
        <v>25.795273972602754</v>
      </c>
      <c r="J79" s="194">
        <v>4.172767123287672</v>
      </c>
      <c r="K79" s="194">
        <v>9.9174246575342497</v>
      </c>
      <c r="L79" s="194">
        <v>72.156849315068399</v>
      </c>
      <c r="M79" s="194">
        <v>72.156849315068399</v>
      </c>
      <c r="N79" s="194">
        <v>92.784821917809282</v>
      </c>
      <c r="O79" s="194">
        <v>92.784821917809282</v>
      </c>
      <c r="P79" s="194">
        <v>-14.156526640876704</v>
      </c>
      <c r="Q79" s="194">
        <v>1.6967793835616436</v>
      </c>
      <c r="R79" s="194"/>
      <c r="S79" s="194">
        <v>3029.6744148851267</v>
      </c>
      <c r="T79" s="195">
        <v>1.0768848834446423</v>
      </c>
    </row>
    <row r="80" spans="1:20" x14ac:dyDescent="0.25">
      <c r="A80" s="192" t="s">
        <v>336</v>
      </c>
      <c r="B80" s="120" t="s">
        <v>63</v>
      </c>
      <c r="C80" s="194">
        <v>1637.8939726027613</v>
      </c>
      <c r="D80" s="194">
        <v>1637.8939726027613</v>
      </c>
      <c r="E80" s="194"/>
      <c r="F80" s="194">
        <v>1279.490510958894</v>
      </c>
      <c r="G80" s="194">
        <v>220.84380948767148</v>
      </c>
      <c r="H80" s="194">
        <v>35.910575342465748</v>
      </c>
      <c r="I80" s="194"/>
      <c r="J80" s="194"/>
      <c r="K80" s="194">
        <v>2.0886575342465736</v>
      </c>
      <c r="L80" s="194">
        <v>88.988219178082119</v>
      </c>
      <c r="M80" s="194">
        <v>88.988219178082119</v>
      </c>
      <c r="N80" s="194">
        <v>40.687479452054525</v>
      </c>
      <c r="O80" s="194">
        <v>40.687479452054525</v>
      </c>
      <c r="P80" s="194"/>
      <c r="Q80" s="194"/>
      <c r="R80" s="194"/>
      <c r="S80" s="194">
        <v>1665.9205944191679</v>
      </c>
      <c r="T80" s="195">
        <v>1.0171113773450609</v>
      </c>
    </row>
    <row r="81" spans="1:20" x14ac:dyDescent="0.25">
      <c r="A81" s="192" t="s">
        <v>280</v>
      </c>
      <c r="B81" s="120" t="s">
        <v>105</v>
      </c>
      <c r="C81" s="194">
        <v>350.93972602739319</v>
      </c>
      <c r="D81" s="194">
        <v>147.27945205479173</v>
      </c>
      <c r="E81" s="194">
        <v>203.66027397260146</v>
      </c>
      <c r="F81" s="194"/>
      <c r="G81" s="194">
        <v>110.39173561643867</v>
      </c>
      <c r="H81" s="194"/>
      <c r="I81" s="194"/>
      <c r="J81" s="194">
        <v>175.14783561643836</v>
      </c>
      <c r="K81" s="194"/>
      <c r="L81" s="194"/>
      <c r="M81" s="194"/>
      <c r="N81" s="194"/>
      <c r="O81" s="194"/>
      <c r="P81" s="194"/>
      <c r="Q81" s="194"/>
      <c r="R81" s="194"/>
      <c r="S81" s="194">
        <v>285.53957123287705</v>
      </c>
      <c r="T81" s="195">
        <v>0.81364277126776119</v>
      </c>
    </row>
    <row r="82" spans="1:20" x14ac:dyDescent="0.25">
      <c r="A82" s="192" t="s">
        <v>239</v>
      </c>
      <c r="B82" s="120" t="s">
        <v>184</v>
      </c>
      <c r="C82" s="194">
        <v>16.440602739726074</v>
      </c>
      <c r="D82" s="194"/>
      <c r="E82" s="194">
        <v>16.440602739726074</v>
      </c>
      <c r="F82" s="194"/>
      <c r="G82" s="194"/>
      <c r="H82" s="194"/>
      <c r="I82" s="194"/>
      <c r="J82" s="194">
        <v>14.138918356164387</v>
      </c>
      <c r="K82" s="194"/>
      <c r="L82" s="194"/>
      <c r="M82" s="194"/>
      <c r="N82" s="194"/>
      <c r="O82" s="194"/>
      <c r="P82" s="194"/>
      <c r="Q82" s="194"/>
      <c r="R82" s="194"/>
      <c r="S82" s="194">
        <v>14.138918356164387</v>
      </c>
      <c r="T82" s="195">
        <v>0.85999999999999777</v>
      </c>
    </row>
    <row r="83" spans="1:20" x14ac:dyDescent="0.25">
      <c r="A83" s="192" t="s">
        <v>307</v>
      </c>
      <c r="B83" s="120" t="s">
        <v>83</v>
      </c>
      <c r="C83" s="194">
        <v>203.86301369862863</v>
      </c>
      <c r="D83" s="194">
        <v>203.86301369862863</v>
      </c>
      <c r="E83" s="194"/>
      <c r="F83" s="194">
        <v>186.2570958904108</v>
      </c>
      <c r="G83" s="194">
        <v>17.202411780821912</v>
      </c>
      <c r="H83" s="194"/>
      <c r="I83" s="194">
        <v>0.32835616438356163</v>
      </c>
      <c r="J83" s="194"/>
      <c r="K83" s="194">
        <v>9.9945205479452001E-2</v>
      </c>
      <c r="L83" s="194">
        <v>4.0123287671232886</v>
      </c>
      <c r="M83" s="194">
        <v>4.0123287671232886</v>
      </c>
      <c r="N83" s="194"/>
      <c r="O83" s="194"/>
      <c r="P83" s="194"/>
      <c r="Q83" s="194"/>
      <c r="R83" s="194"/>
      <c r="S83" s="194">
        <v>207.80019260273954</v>
      </c>
      <c r="T83" s="195">
        <v>1.0193128652062962</v>
      </c>
    </row>
    <row r="84" spans="1:20" x14ac:dyDescent="0.25">
      <c r="A84" s="192" t="s">
        <v>263</v>
      </c>
      <c r="B84" s="120" t="s">
        <v>148</v>
      </c>
      <c r="C84" s="194">
        <v>14.34416438356164</v>
      </c>
      <c r="D84" s="194">
        <v>14.34416438356164</v>
      </c>
      <c r="E84" s="194"/>
      <c r="F84" s="194"/>
      <c r="G84" s="194">
        <v>13.585358087671217</v>
      </c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>
        <v>13.585358087671217</v>
      </c>
      <c r="T84" s="195">
        <v>0.94709999999999916</v>
      </c>
    </row>
    <row r="85" spans="1:20" x14ac:dyDescent="0.25">
      <c r="A85" s="192" t="s">
        <v>352</v>
      </c>
      <c r="B85" s="120" t="s">
        <v>43</v>
      </c>
      <c r="C85" s="194">
        <v>48.638356164383517</v>
      </c>
      <c r="D85" s="194">
        <v>48.638356164383517</v>
      </c>
      <c r="E85" s="194"/>
      <c r="F85" s="194">
        <v>76.8204657534246</v>
      </c>
      <c r="G85" s="194"/>
      <c r="H85" s="194"/>
      <c r="I85" s="194"/>
      <c r="J85" s="194"/>
      <c r="K85" s="194">
        <v>8.120547945205478E-2</v>
      </c>
      <c r="L85" s="194"/>
      <c r="M85" s="194"/>
      <c r="N85" s="194"/>
      <c r="O85" s="194"/>
      <c r="P85" s="194"/>
      <c r="Q85" s="194"/>
      <c r="R85" s="194"/>
      <c r="S85" s="194">
        <v>76.8204657534246</v>
      </c>
      <c r="T85" s="195">
        <v>1.5794215062243011</v>
      </c>
    </row>
    <row r="86" spans="1:20" x14ac:dyDescent="0.25">
      <c r="A86" s="192" t="s">
        <v>243</v>
      </c>
      <c r="B86" s="120" t="s">
        <v>131</v>
      </c>
      <c r="C86" s="194">
        <v>300.5887671232876</v>
      </c>
      <c r="D86" s="194">
        <v>300.5887671232876</v>
      </c>
      <c r="E86" s="194"/>
      <c r="F86" s="194">
        <v>281.35206849315074</v>
      </c>
      <c r="G86" s="194">
        <v>30.202231068493219</v>
      </c>
      <c r="H86" s="194"/>
      <c r="I86" s="194"/>
      <c r="J86" s="194"/>
      <c r="K86" s="194">
        <v>0.20120547945205469</v>
      </c>
      <c r="L86" s="194">
        <v>31.693150684931492</v>
      </c>
      <c r="M86" s="194">
        <v>31.693150684931492</v>
      </c>
      <c r="N86" s="194"/>
      <c r="O86" s="194"/>
      <c r="P86" s="194"/>
      <c r="Q86" s="194">
        <v>0.37890328767123282</v>
      </c>
      <c r="R86" s="194"/>
      <c r="S86" s="194">
        <v>343.62635353424668</v>
      </c>
      <c r="T86" s="195">
        <v>1.1431776271044323</v>
      </c>
    </row>
    <row r="87" spans="1:20" x14ac:dyDescent="0.25">
      <c r="A87" s="192" t="s">
        <v>286</v>
      </c>
      <c r="B87" s="120" t="s">
        <v>97</v>
      </c>
      <c r="C87" s="194">
        <v>118.17534246575326</v>
      </c>
      <c r="D87" s="194">
        <v>101.70410958904093</v>
      </c>
      <c r="E87" s="194">
        <v>16.471232876712339</v>
      </c>
      <c r="F87" s="194">
        <v>78.30575342465778</v>
      </c>
      <c r="G87" s="194">
        <v>18.53934273972602</v>
      </c>
      <c r="H87" s="194"/>
      <c r="I87" s="194"/>
      <c r="J87" s="194">
        <v>14.165260273972574</v>
      </c>
      <c r="K87" s="194"/>
      <c r="L87" s="194">
        <v>0.5</v>
      </c>
      <c r="M87" s="194">
        <v>0.5</v>
      </c>
      <c r="N87" s="194"/>
      <c r="O87" s="194"/>
      <c r="P87" s="194">
        <v>-3.705149589041095</v>
      </c>
      <c r="Q87" s="194"/>
      <c r="R87" s="194"/>
      <c r="S87" s="194">
        <v>107.80520684931528</v>
      </c>
      <c r="T87" s="195">
        <v>0.91224789029536169</v>
      </c>
    </row>
    <row r="88" spans="1:20" x14ac:dyDescent="0.25">
      <c r="A88" s="192" t="s">
        <v>294</v>
      </c>
      <c r="B88" s="120" t="s">
        <v>90</v>
      </c>
      <c r="C88" s="194">
        <v>44.791780821917818</v>
      </c>
      <c r="D88" s="194">
        <v>44.791780821917818</v>
      </c>
      <c r="E88" s="194"/>
      <c r="F88" s="194">
        <v>55.093890410958871</v>
      </c>
      <c r="G88" s="194"/>
      <c r="H88" s="194"/>
      <c r="I88" s="194"/>
      <c r="J88" s="194"/>
      <c r="K88" s="194">
        <v>0.18673972602739722</v>
      </c>
      <c r="L88" s="194">
        <v>3.9109589041095894</v>
      </c>
      <c r="M88" s="194">
        <v>3.9109589041095894</v>
      </c>
      <c r="N88" s="194">
        <v>9.3289041095890415</v>
      </c>
      <c r="O88" s="194">
        <v>9.3289041095890415</v>
      </c>
      <c r="P88" s="194"/>
      <c r="Q88" s="194"/>
      <c r="R88" s="194"/>
      <c r="S88" s="194">
        <v>68.333753424657502</v>
      </c>
      <c r="T88" s="195">
        <v>1.5255868860480752</v>
      </c>
    </row>
    <row r="89" spans="1:20" x14ac:dyDescent="0.25">
      <c r="A89" s="192" t="s">
        <v>378</v>
      </c>
      <c r="B89" s="120" t="s">
        <v>25</v>
      </c>
      <c r="C89" s="194">
        <v>6413.3178082181012</v>
      </c>
      <c r="D89" s="194">
        <v>6410.5397260263207</v>
      </c>
      <c r="E89" s="194">
        <v>2.7780821917808218</v>
      </c>
      <c r="F89" s="194">
        <v>5125.9968301371555</v>
      </c>
      <c r="G89" s="194">
        <v>565.64815156163854</v>
      </c>
      <c r="H89" s="194">
        <v>159.12912328767143</v>
      </c>
      <c r="I89" s="194">
        <v>96.048041095889843</v>
      </c>
      <c r="J89" s="194">
        <v>2.3891506849315065</v>
      </c>
      <c r="K89" s="194">
        <v>17.880986301369873</v>
      </c>
      <c r="L89" s="194">
        <v>369.6448767123278</v>
      </c>
      <c r="M89" s="194">
        <v>369.6448767123278</v>
      </c>
      <c r="N89" s="194"/>
      <c r="O89" s="194"/>
      <c r="P89" s="194">
        <v>-52.687359819177892</v>
      </c>
      <c r="Q89" s="194">
        <v>7.9966712328766967</v>
      </c>
      <c r="R89" s="194"/>
      <c r="S89" s="194">
        <v>6274.165484893314</v>
      </c>
      <c r="T89" s="195">
        <v>0.97830259976412659</v>
      </c>
    </row>
    <row r="90" spans="1:20" x14ac:dyDescent="0.25">
      <c r="A90" s="192" t="s">
        <v>342</v>
      </c>
      <c r="B90" s="120" t="s">
        <v>532</v>
      </c>
      <c r="C90" s="194">
        <v>789.27356164385083</v>
      </c>
      <c r="D90" s="194">
        <v>789.27356164385083</v>
      </c>
      <c r="E90" s="194"/>
      <c r="F90" s="194">
        <v>434.52250684931482</v>
      </c>
      <c r="G90" s="194">
        <v>87.677431780822275</v>
      </c>
      <c r="H90" s="194"/>
      <c r="I90" s="194">
        <v>7.4556164383561638</v>
      </c>
      <c r="J90" s="194"/>
      <c r="K90" s="194">
        <v>3.5158356164383586</v>
      </c>
      <c r="L90" s="194">
        <v>26.854657534246602</v>
      </c>
      <c r="M90" s="194">
        <v>26.854657534246602</v>
      </c>
      <c r="N90" s="194"/>
      <c r="O90" s="194"/>
      <c r="P90" s="194">
        <v>-5.7099444931506849</v>
      </c>
      <c r="Q90" s="194"/>
      <c r="R90" s="194"/>
      <c r="S90" s="194">
        <v>550.80026810958918</v>
      </c>
      <c r="T90" s="195">
        <v>0.69785723844900616</v>
      </c>
    </row>
    <row r="91" spans="1:20" x14ac:dyDescent="0.25">
      <c r="A91" s="192" t="s">
        <v>331</v>
      </c>
      <c r="B91" s="120" t="s">
        <v>66</v>
      </c>
      <c r="C91" s="194">
        <v>111.35369863013693</v>
      </c>
      <c r="D91" s="194">
        <v>111.35369863013693</v>
      </c>
      <c r="E91" s="194"/>
      <c r="F91" s="194">
        <v>102.33887671232927</v>
      </c>
      <c r="G91" s="194">
        <v>6.0839893972602743</v>
      </c>
      <c r="H91" s="194"/>
      <c r="I91" s="194"/>
      <c r="J91" s="194"/>
      <c r="K91" s="194">
        <v>0.19972602739726023</v>
      </c>
      <c r="L91" s="194">
        <v>0.7684931506849314</v>
      </c>
      <c r="M91" s="194">
        <v>0.7684931506849314</v>
      </c>
      <c r="N91" s="194">
        <v>11.763068493150666</v>
      </c>
      <c r="O91" s="194">
        <v>11.763068493150666</v>
      </c>
      <c r="P91" s="194"/>
      <c r="Q91" s="194"/>
      <c r="R91" s="194"/>
      <c r="S91" s="194">
        <v>120.95442775342514</v>
      </c>
      <c r="T91" s="195">
        <v>1.0862183227085898</v>
      </c>
    </row>
    <row r="92" spans="1:20" x14ac:dyDescent="0.25">
      <c r="A92" s="192" t="s">
        <v>313</v>
      </c>
      <c r="B92" s="120" t="s">
        <v>79</v>
      </c>
      <c r="C92" s="194">
        <v>1090.9894520548007</v>
      </c>
      <c r="D92" s="194">
        <v>1087.2508219178144</v>
      </c>
      <c r="E92" s="194">
        <v>3.7386301369863029</v>
      </c>
      <c r="F92" s="194">
        <v>865.26216164383322</v>
      </c>
      <c r="G92" s="194">
        <v>163.77379986301352</v>
      </c>
      <c r="H92" s="194">
        <v>9.0162739726027379</v>
      </c>
      <c r="I92" s="194"/>
      <c r="J92" s="194">
        <v>3.215221917808222</v>
      </c>
      <c r="K92" s="194">
        <v>3.5533150684931507</v>
      </c>
      <c r="L92" s="194">
        <v>46.557534246575365</v>
      </c>
      <c r="M92" s="194">
        <v>46.557534246575365</v>
      </c>
      <c r="N92" s="194">
        <v>10.155260273972596</v>
      </c>
      <c r="O92" s="194">
        <v>10.155260273972596</v>
      </c>
      <c r="P92" s="194"/>
      <c r="Q92" s="194">
        <v>2.1150370547945214</v>
      </c>
      <c r="R92" s="194"/>
      <c r="S92" s="194">
        <v>1100.0952889726002</v>
      </c>
      <c r="T92" s="195">
        <v>1.0083464023420647</v>
      </c>
    </row>
    <row r="93" spans="1:20" x14ac:dyDescent="0.25">
      <c r="A93" s="192" t="s">
        <v>260</v>
      </c>
      <c r="B93" s="120" t="s">
        <v>119</v>
      </c>
      <c r="C93" s="194">
        <v>235.43835616438238</v>
      </c>
      <c r="D93" s="194">
        <v>235.43835616438238</v>
      </c>
      <c r="E93" s="194"/>
      <c r="F93" s="194"/>
      <c r="G93" s="194">
        <v>179.47465890410965</v>
      </c>
      <c r="H93" s="194"/>
      <c r="I93" s="194"/>
      <c r="J93" s="194"/>
      <c r="K93" s="194"/>
      <c r="L93" s="194">
        <v>3.1506849315068496E-2</v>
      </c>
      <c r="M93" s="194">
        <v>3.1506849315068496E-2</v>
      </c>
      <c r="N93" s="194"/>
      <c r="O93" s="194"/>
      <c r="P93" s="194"/>
      <c r="Q93" s="194">
        <v>4.8719323972602675</v>
      </c>
      <c r="R93" s="194"/>
      <c r="S93" s="194">
        <v>184.37809815068499</v>
      </c>
      <c r="T93" s="195">
        <v>0.7831268496538123</v>
      </c>
    </row>
    <row r="94" spans="1:20" x14ac:dyDescent="0.25">
      <c r="A94" s="192" t="s">
        <v>370</v>
      </c>
      <c r="B94" s="120" t="s">
        <v>146</v>
      </c>
      <c r="C94" s="194">
        <v>29.706849315068538</v>
      </c>
      <c r="D94" s="194">
        <v>29.706849315068538</v>
      </c>
      <c r="E94" s="194"/>
      <c r="F94" s="194"/>
      <c r="G94" s="194">
        <v>22.64553123287671</v>
      </c>
      <c r="H94" s="194"/>
      <c r="I94" s="194"/>
      <c r="J94" s="194"/>
      <c r="K94" s="194"/>
      <c r="L94" s="194">
        <v>1.2793835616438352</v>
      </c>
      <c r="M94" s="194">
        <v>1.2793835616438352</v>
      </c>
      <c r="N94" s="194"/>
      <c r="O94" s="194"/>
      <c r="P94" s="194"/>
      <c r="Q94" s="194"/>
      <c r="R94" s="194"/>
      <c r="S94" s="194">
        <v>23.924914794520546</v>
      </c>
      <c r="T94" s="195">
        <v>0.80536695563958183</v>
      </c>
    </row>
    <row r="95" spans="1:20" x14ac:dyDescent="0.25">
      <c r="A95" s="192" t="s">
        <v>387</v>
      </c>
      <c r="B95" s="120" t="s">
        <v>171</v>
      </c>
      <c r="C95" s="194">
        <v>225.5232876712297</v>
      </c>
      <c r="D95" s="194"/>
      <c r="E95" s="194">
        <v>225.5232876712297</v>
      </c>
      <c r="F95" s="194"/>
      <c r="G95" s="194"/>
      <c r="H95" s="194"/>
      <c r="I95" s="194"/>
      <c r="J95" s="194">
        <v>193.9500273972599</v>
      </c>
      <c r="K95" s="194"/>
      <c r="L95" s="194"/>
      <c r="M95" s="194"/>
      <c r="N95" s="194"/>
      <c r="O95" s="194"/>
      <c r="P95" s="194">
        <v>-96.198657534246365</v>
      </c>
      <c r="Q95" s="194"/>
      <c r="R95" s="194"/>
      <c r="S95" s="194">
        <v>97.751369863013537</v>
      </c>
      <c r="T95" s="195">
        <v>0.43344246562029792</v>
      </c>
    </row>
    <row r="96" spans="1:20" x14ac:dyDescent="0.25">
      <c r="A96" s="192" t="s">
        <v>304</v>
      </c>
      <c r="B96" s="120" t="s">
        <v>165</v>
      </c>
      <c r="C96" s="194">
        <v>17.965205479451974</v>
      </c>
      <c r="D96" s="194">
        <v>2.2564383561643258</v>
      </c>
      <c r="E96" s="194">
        <v>15.708767123287648</v>
      </c>
      <c r="F96" s="194"/>
      <c r="G96" s="194">
        <v>1.7200829589041089</v>
      </c>
      <c r="H96" s="194"/>
      <c r="I96" s="194"/>
      <c r="J96" s="194">
        <v>13.509539726027477</v>
      </c>
      <c r="K96" s="194"/>
      <c r="L96" s="194"/>
      <c r="M96" s="194"/>
      <c r="N96" s="194"/>
      <c r="O96" s="194"/>
      <c r="P96" s="194"/>
      <c r="Q96" s="194">
        <v>0.41654995890410945</v>
      </c>
      <c r="R96" s="194"/>
      <c r="S96" s="194">
        <v>15.646172643835696</v>
      </c>
      <c r="T96" s="195">
        <v>0.87091531804249533</v>
      </c>
    </row>
    <row r="97" spans="1:20" x14ac:dyDescent="0.25">
      <c r="A97" s="192" t="s">
        <v>223</v>
      </c>
      <c r="B97" s="120" t="s">
        <v>180</v>
      </c>
      <c r="C97" s="194">
        <v>43.462739726027543</v>
      </c>
      <c r="D97" s="194"/>
      <c r="E97" s="194">
        <v>43.462739726027543</v>
      </c>
      <c r="F97" s="194"/>
      <c r="G97" s="194"/>
      <c r="H97" s="194"/>
      <c r="I97" s="194"/>
      <c r="J97" s="194">
        <v>37.377956164383008</v>
      </c>
      <c r="K97" s="194"/>
      <c r="L97" s="194"/>
      <c r="M97" s="194"/>
      <c r="N97" s="194"/>
      <c r="O97" s="194"/>
      <c r="P97" s="194">
        <v>-18.688978082191504</v>
      </c>
      <c r="Q97" s="194"/>
      <c r="R97" s="194"/>
      <c r="S97" s="194">
        <v>18.688978082191504</v>
      </c>
      <c r="T97" s="195">
        <v>0.42999999999999217</v>
      </c>
    </row>
    <row r="98" spans="1:20" x14ac:dyDescent="0.25">
      <c r="A98" s="192" t="s">
        <v>338</v>
      </c>
      <c r="B98" s="120" t="s">
        <v>61</v>
      </c>
      <c r="C98" s="194">
        <v>318.39142465753343</v>
      </c>
      <c r="D98" s="194">
        <v>82.068082191780576</v>
      </c>
      <c r="E98" s="194">
        <v>236.32334246575286</v>
      </c>
      <c r="F98" s="194"/>
      <c r="G98" s="194">
        <v>44.262042904109698</v>
      </c>
      <c r="H98" s="194"/>
      <c r="I98" s="194"/>
      <c r="J98" s="194">
        <v>203.23807452054837</v>
      </c>
      <c r="K98" s="194"/>
      <c r="L98" s="194"/>
      <c r="M98" s="194"/>
      <c r="N98" s="194"/>
      <c r="O98" s="194"/>
      <c r="P98" s="194">
        <v>-0.14930152328767121</v>
      </c>
      <c r="Q98" s="194"/>
      <c r="R98" s="194"/>
      <c r="S98" s="194">
        <v>247.3508159013704</v>
      </c>
      <c r="T98" s="195">
        <v>0.77687650089013738</v>
      </c>
    </row>
    <row r="99" spans="1:20" x14ac:dyDescent="0.25">
      <c r="A99" s="192" t="s">
        <v>299</v>
      </c>
      <c r="B99" s="120" t="s">
        <v>87</v>
      </c>
      <c r="C99" s="194">
        <v>1101.7859178082688</v>
      </c>
      <c r="D99" s="194">
        <v>1101.7859178082688</v>
      </c>
      <c r="E99" s="194"/>
      <c r="F99" s="194">
        <v>927.93294630135824</v>
      </c>
      <c r="G99" s="194">
        <v>108.45312032876812</v>
      </c>
      <c r="H99" s="194">
        <v>86.085715068492959</v>
      </c>
      <c r="I99" s="194">
        <v>5.1107671232876699</v>
      </c>
      <c r="J99" s="194"/>
      <c r="K99" s="194">
        <v>5.4069041095890462</v>
      </c>
      <c r="L99" s="194">
        <v>430.42261369863013</v>
      </c>
      <c r="M99" s="194">
        <v>430.42261369863013</v>
      </c>
      <c r="N99" s="194">
        <v>59.277158904109633</v>
      </c>
      <c r="O99" s="194">
        <v>59.277158904109633</v>
      </c>
      <c r="P99" s="194"/>
      <c r="Q99" s="194"/>
      <c r="R99" s="194"/>
      <c r="S99" s="194">
        <v>1617.2823214246469</v>
      </c>
      <c r="T99" s="195">
        <v>1.4678734727721243</v>
      </c>
    </row>
    <row r="100" spans="1:20" x14ac:dyDescent="0.25">
      <c r="A100" s="192" t="s">
        <v>291</v>
      </c>
      <c r="B100" s="120" t="s">
        <v>93</v>
      </c>
      <c r="C100" s="194">
        <v>979.27271232880423</v>
      </c>
      <c r="D100" s="194">
        <v>979.27271232880423</v>
      </c>
      <c r="E100" s="194"/>
      <c r="F100" s="194">
        <v>932.59282273972133</v>
      </c>
      <c r="G100" s="194">
        <v>188.78094198082462</v>
      </c>
      <c r="H100" s="194"/>
      <c r="I100" s="194">
        <v>0.91553424657534233</v>
      </c>
      <c r="J100" s="194"/>
      <c r="K100" s="194">
        <v>1.162191780821918</v>
      </c>
      <c r="L100" s="194">
        <v>50.335205479452114</v>
      </c>
      <c r="M100" s="194">
        <v>50.335205479452114</v>
      </c>
      <c r="N100" s="194">
        <v>45.329389041096519</v>
      </c>
      <c r="O100" s="194">
        <v>45.329389041096519</v>
      </c>
      <c r="P100" s="194"/>
      <c r="Q100" s="194"/>
      <c r="R100" s="194">
        <v>8.2410958904109599E-2</v>
      </c>
      <c r="S100" s="194">
        <v>1218.0363044465739</v>
      </c>
      <c r="T100" s="195">
        <v>1.2438172626601272</v>
      </c>
    </row>
    <row r="101" spans="1:20" x14ac:dyDescent="0.25">
      <c r="A101" s="192" t="s">
        <v>284</v>
      </c>
      <c r="B101" s="120" t="s">
        <v>99</v>
      </c>
      <c r="C101" s="194">
        <v>270.00164383561395</v>
      </c>
      <c r="D101" s="194">
        <v>270.00164383561395</v>
      </c>
      <c r="E101" s="194"/>
      <c r="F101" s="194">
        <v>121.35857534246556</v>
      </c>
      <c r="G101" s="194">
        <v>80.417850684930784</v>
      </c>
      <c r="H101" s="194"/>
      <c r="I101" s="194"/>
      <c r="J101" s="194"/>
      <c r="K101" s="194"/>
      <c r="L101" s="194"/>
      <c r="M101" s="194"/>
      <c r="N101" s="194"/>
      <c r="O101" s="194"/>
      <c r="P101" s="194"/>
      <c r="Q101" s="194">
        <v>8.8429964383561792</v>
      </c>
      <c r="R101" s="194"/>
      <c r="S101" s="194">
        <v>210.61942246575251</v>
      </c>
      <c r="T101" s="195">
        <v>0.78006718579085654</v>
      </c>
    </row>
    <row r="102" spans="1:20" x14ac:dyDescent="0.25">
      <c r="A102" s="192" t="s">
        <v>322</v>
      </c>
      <c r="B102" s="120" t="s">
        <v>72</v>
      </c>
      <c r="C102" s="194">
        <v>93.684246575342513</v>
      </c>
      <c r="D102" s="194">
        <v>93.684246575342513</v>
      </c>
      <c r="E102" s="194"/>
      <c r="F102" s="194">
        <v>9.242904109589043</v>
      </c>
      <c r="G102" s="194">
        <v>54.972762945205766</v>
      </c>
      <c r="H102" s="194"/>
      <c r="I102" s="194">
        <v>0.45583561643835607</v>
      </c>
      <c r="J102" s="194"/>
      <c r="K102" s="194"/>
      <c r="L102" s="194"/>
      <c r="M102" s="194"/>
      <c r="N102" s="194"/>
      <c r="O102" s="194"/>
      <c r="P102" s="194">
        <v>-7.2375590958904175</v>
      </c>
      <c r="Q102" s="194">
        <v>3.1242433561643823</v>
      </c>
      <c r="R102" s="194"/>
      <c r="S102" s="194">
        <v>60.558186931507123</v>
      </c>
      <c r="T102" s="195">
        <v>0.64640736458082271</v>
      </c>
    </row>
    <row r="103" spans="1:20" x14ac:dyDescent="0.25">
      <c r="A103" s="192" t="s">
        <v>245</v>
      </c>
      <c r="B103" s="120" t="s">
        <v>170</v>
      </c>
      <c r="C103" s="194">
        <v>3.0876712328767124</v>
      </c>
      <c r="D103" s="194">
        <v>3.0876712328767124</v>
      </c>
      <c r="E103" s="194"/>
      <c r="F103" s="194"/>
      <c r="G103" s="194">
        <v>2.353731780821918</v>
      </c>
      <c r="H103" s="194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194">
        <v>2.353731780821918</v>
      </c>
      <c r="T103" s="195">
        <v>0.76230000000000009</v>
      </c>
    </row>
    <row r="104" spans="1:20" x14ac:dyDescent="0.25">
      <c r="A104" s="192" t="s">
        <v>308</v>
      </c>
      <c r="B104" s="120" t="s">
        <v>149</v>
      </c>
      <c r="C104" s="194">
        <v>42.942465753424671</v>
      </c>
      <c r="D104" s="194">
        <v>42.942465753424671</v>
      </c>
      <c r="E104" s="194"/>
      <c r="F104" s="194"/>
      <c r="G104" s="194">
        <v>32.735041643835622</v>
      </c>
      <c r="H104" s="194"/>
      <c r="I104" s="194"/>
      <c r="J104" s="194"/>
      <c r="K104" s="194"/>
      <c r="L104" s="194"/>
      <c r="M104" s="194"/>
      <c r="N104" s="194"/>
      <c r="O104" s="194"/>
      <c r="P104" s="194"/>
      <c r="Q104" s="194"/>
      <c r="R104" s="194"/>
      <c r="S104" s="194">
        <v>32.735041643835622</v>
      </c>
      <c r="T104" s="195">
        <v>0.76229999999999987</v>
      </c>
    </row>
    <row r="105" spans="1:20" x14ac:dyDescent="0.25">
      <c r="A105" s="192" t="s">
        <v>293</v>
      </c>
      <c r="B105" s="120" t="s">
        <v>91</v>
      </c>
      <c r="C105" s="194">
        <v>68.099726027397338</v>
      </c>
      <c r="D105" s="194">
        <v>68.099726027397338</v>
      </c>
      <c r="E105" s="194"/>
      <c r="F105" s="194"/>
      <c r="G105" s="194">
        <v>62.122899616438289</v>
      </c>
      <c r="H105" s="194"/>
      <c r="I105" s="194"/>
      <c r="J105" s="194"/>
      <c r="K105" s="194"/>
      <c r="L105" s="194"/>
      <c r="M105" s="194"/>
      <c r="N105" s="194"/>
      <c r="O105" s="194"/>
      <c r="P105" s="194">
        <v>-0.89562940273972513</v>
      </c>
      <c r="Q105" s="194"/>
      <c r="R105" s="194"/>
      <c r="S105" s="194">
        <v>61.227270213698567</v>
      </c>
      <c r="T105" s="195">
        <v>0.89908247485556847</v>
      </c>
    </row>
    <row r="106" spans="1:20" x14ac:dyDescent="0.25">
      <c r="A106" s="192" t="s">
        <v>288</v>
      </c>
      <c r="B106" s="120" t="s">
        <v>100</v>
      </c>
      <c r="C106" s="194">
        <v>116.90410958904084</v>
      </c>
      <c r="D106" s="194">
        <v>116.90410958904084</v>
      </c>
      <c r="E106" s="194"/>
      <c r="F106" s="194">
        <v>164.60326027397329</v>
      </c>
      <c r="G106" s="194">
        <v>11.648032602739711</v>
      </c>
      <c r="H106" s="194"/>
      <c r="I106" s="194"/>
      <c r="J106" s="194"/>
      <c r="K106" s="194">
        <v>4.6684931506849311E-2</v>
      </c>
      <c r="L106" s="194">
        <v>0.42602739726027394</v>
      </c>
      <c r="M106" s="194">
        <v>0.42602739726027394</v>
      </c>
      <c r="N106" s="194"/>
      <c r="O106" s="194"/>
      <c r="P106" s="194"/>
      <c r="Q106" s="194"/>
      <c r="R106" s="194"/>
      <c r="S106" s="194">
        <v>176.67732027397327</v>
      </c>
      <c r="T106" s="195">
        <v>1.511301192875566</v>
      </c>
    </row>
    <row r="107" spans="1:20" x14ac:dyDescent="0.25">
      <c r="A107" s="192" t="s">
        <v>241</v>
      </c>
      <c r="B107" s="120" t="s">
        <v>134</v>
      </c>
      <c r="C107" s="194">
        <v>248.84621917807988</v>
      </c>
      <c r="D107" s="194">
        <v>243.02191780821684</v>
      </c>
      <c r="E107" s="194">
        <v>5.8243013698630417</v>
      </c>
      <c r="F107" s="194">
        <v>198.80013698630199</v>
      </c>
      <c r="G107" s="194">
        <v>32.179502465753409</v>
      </c>
      <c r="H107" s="194"/>
      <c r="I107" s="194"/>
      <c r="J107" s="194">
        <v>5.0088991780821974</v>
      </c>
      <c r="K107" s="194">
        <v>0.12624657534246572</v>
      </c>
      <c r="L107" s="194">
        <v>1.3178082191780822</v>
      </c>
      <c r="M107" s="194">
        <v>1.3178082191780822</v>
      </c>
      <c r="N107" s="194">
        <v>9.9096438356164409</v>
      </c>
      <c r="O107" s="194">
        <v>9.9096438356164409</v>
      </c>
      <c r="P107" s="194"/>
      <c r="Q107" s="194"/>
      <c r="R107" s="194"/>
      <c r="S107" s="194">
        <v>247.21599068493214</v>
      </c>
      <c r="T107" s="195">
        <v>0.99344885167019104</v>
      </c>
    </row>
    <row r="108" spans="1:20" x14ac:dyDescent="0.25">
      <c r="A108" s="192" t="s">
        <v>363</v>
      </c>
      <c r="B108" s="120" t="s">
        <v>36</v>
      </c>
      <c r="C108" s="194">
        <v>406.41095890410713</v>
      </c>
      <c r="D108" s="194">
        <v>406.41095890410713</v>
      </c>
      <c r="E108" s="194"/>
      <c r="F108" s="194">
        <v>454.26616438356376</v>
      </c>
      <c r="G108" s="194">
        <v>111.50680109588929</v>
      </c>
      <c r="H108" s="194"/>
      <c r="I108" s="194"/>
      <c r="J108" s="194"/>
      <c r="K108" s="194">
        <v>1.3259178082191776</v>
      </c>
      <c r="L108" s="194">
        <v>20.676712328767131</v>
      </c>
      <c r="M108" s="194">
        <v>20.676712328767131</v>
      </c>
      <c r="N108" s="194">
        <v>42.807178082191889</v>
      </c>
      <c r="O108" s="194">
        <v>42.807178082191889</v>
      </c>
      <c r="P108" s="194">
        <v>-1.3610303178082193</v>
      </c>
      <c r="Q108" s="194"/>
      <c r="R108" s="194"/>
      <c r="S108" s="194">
        <v>627.89582557260394</v>
      </c>
      <c r="T108" s="195">
        <v>1.5449775942699349</v>
      </c>
    </row>
    <row r="109" spans="1:20" x14ac:dyDescent="0.25">
      <c r="A109" s="192" t="s">
        <v>353</v>
      </c>
      <c r="B109" s="120" t="s">
        <v>48</v>
      </c>
      <c r="C109" s="194">
        <v>127.47671232876731</v>
      </c>
      <c r="D109" s="194">
        <v>127.47671232876731</v>
      </c>
      <c r="E109" s="194"/>
      <c r="F109" s="194">
        <v>126.20194520547949</v>
      </c>
      <c r="G109" s="194"/>
      <c r="H109" s="194"/>
      <c r="I109" s="194"/>
      <c r="J109" s="194"/>
      <c r="K109" s="194">
        <v>2.4493150684931506E-2</v>
      </c>
      <c r="L109" s="194">
        <v>12.356164383561651</v>
      </c>
      <c r="M109" s="194">
        <v>12.356164383561651</v>
      </c>
      <c r="N109" s="194"/>
      <c r="O109" s="194"/>
      <c r="P109" s="194"/>
      <c r="Q109" s="194"/>
      <c r="R109" s="194"/>
      <c r="S109" s="194">
        <v>138.55810958904115</v>
      </c>
      <c r="T109" s="195">
        <v>1.0869287970942842</v>
      </c>
    </row>
    <row r="110" spans="1:20" s="8" customFormat="1" x14ac:dyDescent="0.25">
      <c r="A110" s="258" t="s">
        <v>332</v>
      </c>
      <c r="B110" s="259" t="s">
        <v>163</v>
      </c>
      <c r="C110" s="260">
        <v>16.474520547945176</v>
      </c>
      <c r="D110" s="260"/>
      <c r="E110" s="260">
        <v>16.474520547945176</v>
      </c>
      <c r="F110" s="260"/>
      <c r="G110" s="260"/>
      <c r="H110" s="260"/>
      <c r="I110" s="260"/>
      <c r="J110" s="260">
        <v>14.168087671232986</v>
      </c>
      <c r="K110" s="260"/>
      <c r="L110" s="260"/>
      <c r="M110" s="260"/>
      <c r="N110" s="260"/>
      <c r="O110" s="260"/>
      <c r="P110" s="260">
        <v>-7.0840438356164803</v>
      </c>
      <c r="Q110" s="260"/>
      <c r="R110" s="260"/>
      <c r="S110" s="260">
        <v>7.0840438356164803</v>
      </c>
      <c r="T110" s="261">
        <v>0.43000000000000299</v>
      </c>
    </row>
    <row r="111" spans="1:20" x14ac:dyDescent="0.25">
      <c r="A111" s="192" t="s">
        <v>275</v>
      </c>
      <c r="B111" s="120" t="s">
        <v>109</v>
      </c>
      <c r="C111" s="194">
        <v>3102.0378082191542</v>
      </c>
      <c r="D111" s="194">
        <v>3077.1638356164144</v>
      </c>
      <c r="E111" s="194">
        <v>24.873972602739709</v>
      </c>
      <c r="F111" s="194">
        <v>2924.3508109588511</v>
      </c>
      <c r="G111" s="194">
        <v>342.52921336985935</v>
      </c>
      <c r="H111" s="194">
        <v>79.921890410958866</v>
      </c>
      <c r="I111" s="194"/>
      <c r="J111" s="194">
        <v>21.39161643835617</v>
      </c>
      <c r="K111" s="194">
        <v>12.547397260273977</v>
      </c>
      <c r="L111" s="194">
        <v>175.69597260273883</v>
      </c>
      <c r="M111" s="194">
        <v>175.69597260273883</v>
      </c>
      <c r="N111" s="194">
        <v>131.8510684931519</v>
      </c>
      <c r="O111" s="194">
        <v>131.8510684931519</v>
      </c>
      <c r="P111" s="194">
        <v>-0.21533424657534245</v>
      </c>
      <c r="Q111" s="194">
        <v>2.6752804794520553</v>
      </c>
      <c r="R111" s="194"/>
      <c r="S111" s="194">
        <v>3678.2005185067933</v>
      </c>
      <c r="T111" s="195">
        <v>1.1857368432973459</v>
      </c>
    </row>
    <row r="112" spans="1:20" x14ac:dyDescent="0.25">
      <c r="A112" s="192" t="s">
        <v>258</v>
      </c>
      <c r="B112" s="120" t="s">
        <v>121</v>
      </c>
      <c r="C112" s="194">
        <v>479.58712328767052</v>
      </c>
      <c r="D112" s="194">
        <v>479.58712328767052</v>
      </c>
      <c r="E112" s="194"/>
      <c r="F112" s="194">
        <v>539.98338904109562</v>
      </c>
      <c r="G112" s="194">
        <v>14.415855616438346</v>
      </c>
      <c r="H112" s="194"/>
      <c r="I112" s="194"/>
      <c r="J112" s="194"/>
      <c r="K112" s="194">
        <v>2.5711232876712335</v>
      </c>
      <c r="L112" s="194">
        <v>22.45342465753426</v>
      </c>
      <c r="M112" s="194">
        <v>22.45342465753426</v>
      </c>
      <c r="N112" s="194">
        <v>11.035999999999973</v>
      </c>
      <c r="O112" s="194">
        <v>11.035999999999973</v>
      </c>
      <c r="P112" s="194"/>
      <c r="Q112" s="194"/>
      <c r="R112" s="194"/>
      <c r="S112" s="194">
        <v>587.88866931506811</v>
      </c>
      <c r="T112" s="195">
        <v>1.2258224643000577</v>
      </c>
    </row>
    <row r="113" spans="1:20" x14ac:dyDescent="0.25">
      <c r="A113" s="192" t="s">
        <v>256</v>
      </c>
      <c r="B113" s="120" t="s">
        <v>123</v>
      </c>
      <c r="C113" s="194">
        <v>1473.7280821917759</v>
      </c>
      <c r="D113" s="194">
        <v>1454.6749315068444</v>
      </c>
      <c r="E113" s="194">
        <v>19.053150684931524</v>
      </c>
      <c r="F113" s="194">
        <v>1283.5336178081955</v>
      </c>
      <c r="G113" s="194">
        <v>183.34161789041241</v>
      </c>
      <c r="H113" s="194">
        <v>41.095512328767121</v>
      </c>
      <c r="I113" s="194">
        <v>2.6133287671232868</v>
      </c>
      <c r="J113" s="194">
        <v>16.385709589041078</v>
      </c>
      <c r="K113" s="194">
        <v>4.1926027397260315</v>
      </c>
      <c r="L113" s="194">
        <v>61.159999999999897</v>
      </c>
      <c r="M113" s="194">
        <v>61.159999999999897</v>
      </c>
      <c r="N113" s="194">
        <v>51.546969863014198</v>
      </c>
      <c r="O113" s="194">
        <v>51.546969863014198</v>
      </c>
      <c r="P113" s="194"/>
      <c r="Q113" s="194">
        <v>0.29713561643835618</v>
      </c>
      <c r="R113" s="194"/>
      <c r="S113" s="194">
        <v>1639.9738918629916</v>
      </c>
      <c r="T113" s="195">
        <v>1.1128062983124809</v>
      </c>
    </row>
    <row r="114" spans="1:20" x14ac:dyDescent="0.25">
      <c r="A114" s="192" t="s">
        <v>297</v>
      </c>
      <c r="B114" s="120" t="s">
        <v>530</v>
      </c>
      <c r="C114" s="194">
        <v>6239.6744657526606</v>
      </c>
      <c r="D114" s="194">
        <v>6238.3730958896467</v>
      </c>
      <c r="E114" s="194">
        <v>1.3013698630136992</v>
      </c>
      <c r="F114" s="194">
        <v>5836.8271956163971</v>
      </c>
      <c r="G114" s="194">
        <v>422.34741716713131</v>
      </c>
      <c r="H114" s="194">
        <v>167.63007123287673</v>
      </c>
      <c r="I114" s="194">
        <v>18.75724931506851</v>
      </c>
      <c r="J114" s="194">
        <v>1.1191780821917803</v>
      </c>
      <c r="K114" s="194">
        <v>27.746646575342513</v>
      </c>
      <c r="L114" s="194">
        <v>383.88791780822231</v>
      </c>
      <c r="M114" s="194">
        <v>383.88791780822231</v>
      </c>
      <c r="N114" s="194">
        <v>81.661134246576097</v>
      </c>
      <c r="O114" s="194">
        <v>81.661134246576097</v>
      </c>
      <c r="P114" s="194"/>
      <c r="Q114" s="194">
        <v>8.2263210958904125</v>
      </c>
      <c r="R114" s="194"/>
      <c r="S114" s="194">
        <v>6920.4564845643545</v>
      </c>
      <c r="T114" s="195">
        <v>1.1091053744146857</v>
      </c>
    </row>
    <row r="115" spans="1:20" x14ac:dyDescent="0.25">
      <c r="A115" s="192" t="s">
        <v>329</v>
      </c>
      <c r="B115" s="120" t="s">
        <v>68</v>
      </c>
      <c r="C115" s="194">
        <v>6009.6184931501075</v>
      </c>
      <c r="D115" s="194">
        <v>5864.9535068487367</v>
      </c>
      <c r="E115" s="194">
        <v>144.66498630137085</v>
      </c>
      <c r="F115" s="194">
        <v>4703.644654794447</v>
      </c>
      <c r="G115" s="194">
        <v>807.25031932327499</v>
      </c>
      <c r="H115" s="194">
        <v>107.20249315068487</v>
      </c>
      <c r="I115" s="194">
        <v>57.04898630136973</v>
      </c>
      <c r="J115" s="194">
        <v>124.4118882191772</v>
      </c>
      <c r="K115" s="194">
        <v>17.263331506849305</v>
      </c>
      <c r="L115" s="194">
        <v>322.18994520547778</v>
      </c>
      <c r="M115" s="194">
        <v>322.18994520547778</v>
      </c>
      <c r="N115" s="194">
        <v>12.292561643835569</v>
      </c>
      <c r="O115" s="194">
        <v>12.292561643835569</v>
      </c>
      <c r="P115" s="194">
        <v>-4.07461095890411E-3</v>
      </c>
      <c r="Q115" s="194">
        <v>7.4671245205478831</v>
      </c>
      <c r="R115" s="194"/>
      <c r="S115" s="194">
        <v>6141.5038985478559</v>
      </c>
      <c r="T115" s="195">
        <v>1.0219457201065361</v>
      </c>
    </row>
    <row r="116" spans="1:20" x14ac:dyDescent="0.25">
      <c r="A116" s="192" t="s">
        <v>268</v>
      </c>
      <c r="B116" s="120" t="s">
        <v>114</v>
      </c>
      <c r="C116" s="194">
        <v>4326.0445205477781</v>
      </c>
      <c r="D116" s="194">
        <v>4299.2567945203809</v>
      </c>
      <c r="E116" s="194">
        <v>26.787726027397316</v>
      </c>
      <c r="F116" s="194">
        <v>3681.220817260396</v>
      </c>
      <c r="G116" s="194">
        <v>519.23705426849131</v>
      </c>
      <c r="H116" s="194">
        <v>105.28643835616421</v>
      </c>
      <c r="I116" s="194">
        <v>17.445369863013703</v>
      </c>
      <c r="J116" s="194">
        <v>23.037444383561617</v>
      </c>
      <c r="K116" s="194">
        <v>19.679671232876775</v>
      </c>
      <c r="L116" s="194">
        <v>293.86558904109614</v>
      </c>
      <c r="M116" s="194">
        <v>293.86558904109614</v>
      </c>
      <c r="N116" s="194">
        <v>56.505780821918655</v>
      </c>
      <c r="O116" s="194">
        <v>56.505780821918655</v>
      </c>
      <c r="P116" s="194"/>
      <c r="Q116" s="194">
        <v>17.811618246575289</v>
      </c>
      <c r="R116" s="194"/>
      <c r="S116" s="194">
        <v>4714.4101122412185</v>
      </c>
      <c r="T116" s="195">
        <v>1.0897738314639993</v>
      </c>
    </row>
    <row r="117" spans="1:20" x14ac:dyDescent="0.25">
      <c r="A117" s="192" t="s">
        <v>248</v>
      </c>
      <c r="B117" s="120" t="s">
        <v>169</v>
      </c>
      <c r="C117" s="194">
        <v>39.005479452054786</v>
      </c>
      <c r="D117" s="194">
        <v>39.005479452054786</v>
      </c>
      <c r="E117" s="194"/>
      <c r="F117" s="194"/>
      <c r="G117" s="194">
        <v>29.733876986301318</v>
      </c>
      <c r="H117" s="194"/>
      <c r="I117" s="194"/>
      <c r="J117" s="194"/>
      <c r="K117" s="194"/>
      <c r="L117" s="194"/>
      <c r="M117" s="194"/>
      <c r="N117" s="194"/>
      <c r="O117" s="194"/>
      <c r="P117" s="194"/>
      <c r="Q117" s="194"/>
      <c r="R117" s="194"/>
      <c r="S117" s="194">
        <v>29.733876986301318</v>
      </c>
      <c r="T117" s="195">
        <v>0.76229999999999887</v>
      </c>
    </row>
    <row r="118" spans="1:20" x14ac:dyDescent="0.25">
      <c r="A118" s="192" t="s">
        <v>377</v>
      </c>
      <c r="B118" s="120" t="s">
        <v>26</v>
      </c>
      <c r="C118" s="194">
        <v>2816.1774520547879</v>
      </c>
      <c r="D118" s="194">
        <v>2815.1500547945138</v>
      </c>
      <c r="E118" s="194">
        <v>1.0273972602739703</v>
      </c>
      <c r="F118" s="194">
        <v>2359.2808673972581</v>
      </c>
      <c r="G118" s="194">
        <v>282.51313923287296</v>
      </c>
      <c r="H118" s="194">
        <v>81.614856164383511</v>
      </c>
      <c r="I118" s="194">
        <v>1.3617123287671231</v>
      </c>
      <c r="J118" s="194">
        <v>0.88356164383561764</v>
      </c>
      <c r="K118" s="194">
        <v>11.275520547945215</v>
      </c>
      <c r="L118" s="194">
        <v>180.21821917808225</v>
      </c>
      <c r="M118" s="194">
        <v>180.21821917808225</v>
      </c>
      <c r="N118" s="194">
        <v>2.5343561643835621</v>
      </c>
      <c r="O118" s="194">
        <v>2.5343561643835621</v>
      </c>
      <c r="P118" s="194">
        <v>-5.6347545205479459E-2</v>
      </c>
      <c r="Q118" s="194">
        <v>9.8274736986301701</v>
      </c>
      <c r="R118" s="194"/>
      <c r="S118" s="194">
        <v>2918.1778382630077</v>
      </c>
      <c r="T118" s="195">
        <v>1.0362194456651845</v>
      </c>
    </row>
    <row r="119" spans="1:20" x14ac:dyDescent="0.25">
      <c r="A119" s="192" t="s">
        <v>238</v>
      </c>
      <c r="B119" s="120" t="s">
        <v>177</v>
      </c>
      <c r="C119" s="194">
        <v>56.069479452055099</v>
      </c>
      <c r="D119" s="194"/>
      <c r="E119" s="194">
        <v>56.069479452055099</v>
      </c>
      <c r="F119" s="194"/>
      <c r="G119" s="194"/>
      <c r="H119" s="194"/>
      <c r="I119" s="194"/>
      <c r="J119" s="194">
        <v>48.219752328766667</v>
      </c>
      <c r="K119" s="194"/>
      <c r="L119" s="194"/>
      <c r="M119" s="194"/>
      <c r="N119" s="194"/>
      <c r="O119" s="194"/>
      <c r="P119" s="194">
        <v>-24.109876164383333</v>
      </c>
      <c r="Q119" s="194"/>
      <c r="R119" s="194"/>
      <c r="S119" s="194">
        <v>24.109876164383333</v>
      </c>
      <c r="T119" s="195">
        <v>0.42999999999999361</v>
      </c>
    </row>
    <row r="120" spans="1:20" x14ac:dyDescent="0.25">
      <c r="A120" s="192" t="s">
        <v>231</v>
      </c>
      <c r="B120" s="120" t="s">
        <v>139</v>
      </c>
      <c r="C120" s="194">
        <v>149.53863013698592</v>
      </c>
      <c r="D120" s="194">
        <v>149.53863013698592</v>
      </c>
      <c r="E120" s="194"/>
      <c r="F120" s="194">
        <v>183.69073972602988</v>
      </c>
      <c r="G120" s="194">
        <v>25.925718575342465</v>
      </c>
      <c r="H120" s="194"/>
      <c r="I120" s="194"/>
      <c r="J120" s="194"/>
      <c r="K120" s="194">
        <v>0.48328767123287686</v>
      </c>
      <c r="L120" s="194">
        <v>0.43424657534246569</v>
      </c>
      <c r="M120" s="194">
        <v>0.43424657534246569</v>
      </c>
      <c r="N120" s="194">
        <v>28.597780821917706</v>
      </c>
      <c r="O120" s="194">
        <v>28.597780821917706</v>
      </c>
      <c r="P120" s="194"/>
      <c r="Q120" s="194"/>
      <c r="R120" s="194"/>
      <c r="S120" s="194">
        <v>238.6484856986325</v>
      </c>
      <c r="T120" s="195">
        <v>1.5958985680156152</v>
      </c>
    </row>
    <row r="121" spans="1:20" x14ac:dyDescent="0.25">
      <c r="A121" s="192" t="s">
        <v>368</v>
      </c>
      <c r="B121" s="120" t="s">
        <v>31</v>
      </c>
      <c r="C121" s="194">
        <v>187.41205479451949</v>
      </c>
      <c r="D121" s="194">
        <v>187.41205479451949</v>
      </c>
      <c r="E121" s="194"/>
      <c r="F121" s="194">
        <v>249.76527123287823</v>
      </c>
      <c r="G121" s="194">
        <v>21.499948438356128</v>
      </c>
      <c r="H121" s="194"/>
      <c r="I121" s="194"/>
      <c r="J121" s="194"/>
      <c r="K121" s="194">
        <v>0.73098082191780844</v>
      </c>
      <c r="L121" s="194">
        <v>8.0052054794520604</v>
      </c>
      <c r="M121" s="194">
        <v>8.0052054794520604</v>
      </c>
      <c r="N121" s="194">
        <v>33.92962739726056</v>
      </c>
      <c r="O121" s="194">
        <v>33.92962739726056</v>
      </c>
      <c r="P121" s="194"/>
      <c r="Q121" s="194"/>
      <c r="R121" s="194"/>
      <c r="S121" s="194">
        <v>313.200052547947</v>
      </c>
      <c r="T121" s="195">
        <v>1.6711841342935103</v>
      </c>
    </row>
    <row r="122" spans="1:20" x14ac:dyDescent="0.25">
      <c r="A122" s="192" t="s">
        <v>247</v>
      </c>
      <c r="B122" s="120" t="s">
        <v>129</v>
      </c>
      <c r="C122" s="194">
        <v>30.835616438356169</v>
      </c>
      <c r="D122" s="194">
        <v>30.835616438356169</v>
      </c>
      <c r="E122" s="194"/>
      <c r="F122" s="194">
        <v>31.288356164383586</v>
      </c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  <c r="Q122" s="194"/>
      <c r="R122" s="194"/>
      <c r="S122" s="194">
        <v>31.288356164383586</v>
      </c>
      <c r="T122" s="195">
        <v>1.0146823633940476</v>
      </c>
    </row>
    <row r="123" spans="1:20" x14ac:dyDescent="0.25">
      <c r="A123" s="192" t="s">
        <v>354</v>
      </c>
      <c r="B123" s="120" t="s">
        <v>47</v>
      </c>
      <c r="C123" s="194">
        <v>191.60712328767036</v>
      </c>
      <c r="D123" s="194">
        <v>191.60712328767036</v>
      </c>
      <c r="E123" s="194"/>
      <c r="F123" s="194">
        <v>109.20215342465802</v>
      </c>
      <c r="G123" s="194">
        <v>61.976451945205497</v>
      </c>
      <c r="H123" s="194"/>
      <c r="I123" s="194"/>
      <c r="J123" s="194"/>
      <c r="K123" s="194">
        <v>0.19594520547945202</v>
      </c>
      <c r="L123" s="194">
        <v>10.184383561643843</v>
      </c>
      <c r="M123" s="194">
        <v>10.184383561643843</v>
      </c>
      <c r="N123" s="194">
        <v>3.013780821917809</v>
      </c>
      <c r="O123" s="194">
        <v>3.013780821917809</v>
      </c>
      <c r="P123" s="194"/>
      <c r="Q123" s="194"/>
      <c r="R123" s="194"/>
      <c r="S123" s="194">
        <v>184.37676975342518</v>
      </c>
      <c r="T123" s="195">
        <v>0.96226469345093268</v>
      </c>
    </row>
    <row r="124" spans="1:20" x14ac:dyDescent="0.25">
      <c r="A124" s="192" t="s">
        <v>350</v>
      </c>
      <c r="B124" s="120" t="s">
        <v>45</v>
      </c>
      <c r="C124" s="194">
        <v>146.06301369863019</v>
      </c>
      <c r="D124" s="194">
        <v>146.06301369863019</v>
      </c>
      <c r="E124" s="194"/>
      <c r="F124" s="194"/>
      <c r="G124" s="194">
        <v>82.5968663013699</v>
      </c>
      <c r="H124" s="194"/>
      <c r="I124" s="194"/>
      <c r="J124" s="194"/>
      <c r="K124" s="194"/>
      <c r="L124" s="194"/>
      <c r="M124" s="194"/>
      <c r="N124" s="194"/>
      <c r="O124" s="194"/>
      <c r="P124" s="194"/>
      <c r="Q124" s="194"/>
      <c r="R124" s="194"/>
      <c r="S124" s="194">
        <v>82.5968663013699</v>
      </c>
      <c r="T124" s="195">
        <v>0.56548789601035399</v>
      </c>
    </row>
    <row r="125" spans="1:20" x14ac:dyDescent="0.25">
      <c r="A125" s="192" t="s">
        <v>257</v>
      </c>
      <c r="B125" s="120" t="s">
        <v>122</v>
      </c>
      <c r="C125" s="194">
        <v>942.05501369865135</v>
      </c>
      <c r="D125" s="194">
        <v>942.05501369865135</v>
      </c>
      <c r="E125" s="194"/>
      <c r="F125" s="194">
        <v>901.80411835615428</v>
      </c>
      <c r="G125" s="194">
        <v>13.591132876712331</v>
      </c>
      <c r="H125" s="194">
        <v>8.4136438356164351</v>
      </c>
      <c r="I125" s="194"/>
      <c r="J125" s="194"/>
      <c r="K125" s="194">
        <v>5.1665753424657632</v>
      </c>
      <c r="L125" s="194">
        <v>45.826917808219086</v>
      </c>
      <c r="M125" s="194">
        <v>45.826917808219086</v>
      </c>
      <c r="N125" s="194">
        <v>4.0605753424657589</v>
      </c>
      <c r="O125" s="194">
        <v>4.0605753424657589</v>
      </c>
      <c r="P125" s="194"/>
      <c r="Q125" s="194"/>
      <c r="R125" s="194"/>
      <c r="S125" s="194">
        <v>973.69638821916783</v>
      </c>
      <c r="T125" s="195">
        <v>1.0335876080063371</v>
      </c>
    </row>
    <row r="126" spans="1:20" x14ac:dyDescent="0.25">
      <c r="A126" s="192" t="s">
        <v>266</v>
      </c>
      <c r="B126" s="120" t="s">
        <v>176</v>
      </c>
      <c r="C126" s="194">
        <v>118.73698630136981</v>
      </c>
      <c r="D126" s="194"/>
      <c r="E126" s="194">
        <v>118.73698630136981</v>
      </c>
      <c r="F126" s="194"/>
      <c r="G126" s="194"/>
      <c r="H126" s="194"/>
      <c r="I126" s="194"/>
      <c r="J126" s="194">
        <v>102.1138082191782</v>
      </c>
      <c r="K126" s="194"/>
      <c r="L126" s="194"/>
      <c r="M126" s="194"/>
      <c r="N126" s="194">
        <v>7.6421369863013764</v>
      </c>
      <c r="O126" s="194">
        <v>7.6421369863013764</v>
      </c>
      <c r="P126" s="194"/>
      <c r="Q126" s="194"/>
      <c r="R126" s="194"/>
      <c r="S126" s="194">
        <v>109.75594520547958</v>
      </c>
      <c r="T126" s="195">
        <v>0.92436189113731426</v>
      </c>
    </row>
    <row r="127" spans="1:20" x14ac:dyDescent="0.25">
      <c r="A127" s="192" t="s">
        <v>367</v>
      </c>
      <c r="B127" s="120" t="s">
        <v>162</v>
      </c>
      <c r="C127" s="194">
        <v>30.652054794520559</v>
      </c>
      <c r="D127" s="194">
        <v>30.652054794520559</v>
      </c>
      <c r="E127" s="194"/>
      <c r="F127" s="194"/>
      <c r="G127" s="194">
        <v>16.521457534246579</v>
      </c>
      <c r="H127" s="194"/>
      <c r="I127" s="194"/>
      <c r="J127" s="194"/>
      <c r="K127" s="194"/>
      <c r="L127" s="194"/>
      <c r="M127" s="194"/>
      <c r="N127" s="194"/>
      <c r="O127" s="194"/>
      <c r="P127" s="194"/>
      <c r="Q127" s="194"/>
      <c r="R127" s="194"/>
      <c r="S127" s="194">
        <v>16.521457534246579</v>
      </c>
      <c r="T127" s="195">
        <v>0.53899999999999992</v>
      </c>
    </row>
    <row r="128" spans="1:20" x14ac:dyDescent="0.25">
      <c r="A128" s="192" t="s">
        <v>348</v>
      </c>
      <c r="B128" s="120" t="s">
        <v>49</v>
      </c>
      <c r="C128" s="194">
        <v>498.25150684931634</v>
      </c>
      <c r="D128" s="194">
        <v>497.53917808219308</v>
      </c>
      <c r="E128" s="194">
        <v>0.71232876712328819</v>
      </c>
      <c r="F128" s="194">
        <v>521.8695753424596</v>
      </c>
      <c r="G128" s="194">
        <v>17.912687205479447</v>
      </c>
      <c r="H128" s="194"/>
      <c r="I128" s="194">
        <v>7.7260273972602732E-3</v>
      </c>
      <c r="J128" s="194">
        <v>0.61260273972602719</v>
      </c>
      <c r="K128" s="194">
        <v>1.8956712328767114</v>
      </c>
      <c r="L128" s="194">
        <v>20.035616438356186</v>
      </c>
      <c r="M128" s="194">
        <v>20.035616438356186</v>
      </c>
      <c r="N128" s="194">
        <v>40.02609589041132</v>
      </c>
      <c r="O128" s="194">
        <v>40.02609589041132</v>
      </c>
      <c r="P128" s="194"/>
      <c r="Q128" s="194"/>
      <c r="R128" s="194"/>
      <c r="S128" s="194">
        <v>600.46430364382979</v>
      </c>
      <c r="T128" s="195">
        <v>1.2051429757650984</v>
      </c>
    </row>
    <row r="129" spans="1:20" x14ac:dyDescent="0.25">
      <c r="A129" s="192" t="s">
        <v>269</v>
      </c>
      <c r="B129" s="120" t="s">
        <v>113</v>
      </c>
      <c r="C129" s="194">
        <v>5513.8866301364133</v>
      </c>
      <c r="D129" s="194">
        <v>5470.4800547939476</v>
      </c>
      <c r="E129" s="194">
        <v>43.406575342465707</v>
      </c>
      <c r="F129" s="194">
        <v>4283.2383698633521</v>
      </c>
      <c r="G129" s="194">
        <v>778.56894879725792</v>
      </c>
      <c r="H129" s="194">
        <v>231.45632876712355</v>
      </c>
      <c r="I129" s="194"/>
      <c r="J129" s="194">
        <v>37.329654794520266</v>
      </c>
      <c r="K129" s="194">
        <v>16.851616438356171</v>
      </c>
      <c r="L129" s="194">
        <v>433.31624657534053</v>
      </c>
      <c r="M129" s="194">
        <v>432.08117600326568</v>
      </c>
      <c r="N129" s="194">
        <v>15.304602739726027</v>
      </c>
      <c r="O129" s="194">
        <v>15.304602739726027</v>
      </c>
      <c r="P129" s="194">
        <v>-8.075328167123299</v>
      </c>
      <c r="Q129" s="194">
        <v>8.0012018493150592</v>
      </c>
      <c r="R129" s="194">
        <v>4.5553972602739741</v>
      </c>
      <c r="S129" s="194">
        <v>5782.4603519077109</v>
      </c>
      <c r="T129" s="195">
        <v>1.0487086042544607</v>
      </c>
    </row>
    <row r="130" spans="1:20" x14ac:dyDescent="0.25">
      <c r="A130" s="192" t="s">
        <v>333</v>
      </c>
      <c r="B130" s="120" t="s">
        <v>147</v>
      </c>
      <c r="C130" s="194">
        <v>32.38904109589042</v>
      </c>
      <c r="D130" s="194">
        <v>32.358904109589048</v>
      </c>
      <c r="E130" s="194">
        <v>3.0136986301369864E-2</v>
      </c>
      <c r="F130" s="194"/>
      <c r="G130" s="194">
        <v>24.667192602739721</v>
      </c>
      <c r="H130" s="194"/>
      <c r="I130" s="194"/>
      <c r="J130" s="194">
        <v>2.5917808219178079E-2</v>
      </c>
      <c r="K130" s="194"/>
      <c r="L130" s="194"/>
      <c r="M130" s="194"/>
      <c r="N130" s="194"/>
      <c r="O130" s="194"/>
      <c r="P130" s="194"/>
      <c r="Q130" s="194"/>
      <c r="R130" s="194"/>
      <c r="S130" s="194">
        <v>24.693110410958898</v>
      </c>
      <c r="T130" s="195">
        <v>0.76239090678396171</v>
      </c>
    </row>
    <row r="131" spans="1:20" x14ac:dyDescent="0.25">
      <c r="A131" s="192" t="s">
        <v>325</v>
      </c>
      <c r="B131" s="120" t="s">
        <v>525</v>
      </c>
      <c r="C131" s="194">
        <v>48.027397260274014</v>
      </c>
      <c r="D131" s="194">
        <v>48.027397260274014</v>
      </c>
      <c r="E131" s="194"/>
      <c r="F131" s="194">
        <v>76.363561643835666</v>
      </c>
      <c r="G131" s="194"/>
      <c r="H131" s="194"/>
      <c r="I131" s="194"/>
      <c r="J131" s="194"/>
      <c r="K131" s="194">
        <v>2.3342465753424656E-2</v>
      </c>
      <c r="L131" s="194">
        <v>0.49999999999999994</v>
      </c>
      <c r="M131" s="194">
        <v>0.49999999999999994</v>
      </c>
      <c r="N131" s="194"/>
      <c r="O131" s="194"/>
      <c r="P131" s="194"/>
      <c r="Q131" s="194"/>
      <c r="R131" s="194"/>
      <c r="S131" s="194">
        <v>76.863561643835666</v>
      </c>
      <c r="T131" s="195">
        <v>1.6004107244723333</v>
      </c>
    </row>
    <row r="132" spans="1:20" x14ac:dyDescent="0.25">
      <c r="A132" s="192" t="s">
        <v>330</v>
      </c>
      <c r="B132" s="120" t="s">
        <v>67</v>
      </c>
      <c r="C132" s="194">
        <v>2383.5218630137438</v>
      </c>
      <c r="D132" s="194">
        <v>2380.4451506849769</v>
      </c>
      <c r="E132" s="194">
        <v>3.0767123287671252</v>
      </c>
      <c r="F132" s="194">
        <v>2038.7695753424489</v>
      </c>
      <c r="G132" s="194">
        <v>217.84912780821983</v>
      </c>
      <c r="H132" s="194">
        <v>77.291178082191763</v>
      </c>
      <c r="I132" s="194">
        <v>11.502123287671239</v>
      </c>
      <c r="J132" s="194">
        <v>2.6459726027397275</v>
      </c>
      <c r="K132" s="194">
        <v>8.2704986301369985</v>
      </c>
      <c r="L132" s="194">
        <v>229.09178082191798</v>
      </c>
      <c r="M132" s="194">
        <v>229.09178082191798</v>
      </c>
      <c r="N132" s="194">
        <v>12.022054794520518</v>
      </c>
      <c r="O132" s="194">
        <v>12.022054794520518</v>
      </c>
      <c r="P132" s="194"/>
      <c r="Q132" s="194">
        <v>3.7877722602739587</v>
      </c>
      <c r="R132" s="194"/>
      <c r="S132" s="194">
        <v>2592.9595849999837</v>
      </c>
      <c r="T132" s="195">
        <v>1.0878690165322973</v>
      </c>
    </row>
    <row r="133" spans="1:20" x14ac:dyDescent="0.25">
      <c r="A133" s="192" t="s">
        <v>381</v>
      </c>
      <c r="B133" s="120" t="s">
        <v>23</v>
      </c>
      <c r="C133" s="194">
        <v>1613.7958904108882</v>
      </c>
      <c r="D133" s="194">
        <v>1592.2178082191074</v>
      </c>
      <c r="E133" s="194">
        <v>21.578082191780855</v>
      </c>
      <c r="F133" s="194">
        <v>1346.7016191780554</v>
      </c>
      <c r="G133" s="194">
        <v>245.36441328767356</v>
      </c>
      <c r="H133" s="194"/>
      <c r="I133" s="194">
        <v>8.5527123287671074</v>
      </c>
      <c r="J133" s="194">
        <v>18.557150684931461</v>
      </c>
      <c r="K133" s="194">
        <v>3.9539178082191788</v>
      </c>
      <c r="L133" s="194">
        <v>63.227945205479564</v>
      </c>
      <c r="M133" s="194">
        <v>63.227945205479564</v>
      </c>
      <c r="N133" s="194">
        <v>30.937150684931687</v>
      </c>
      <c r="O133" s="194">
        <v>30.937150684931687</v>
      </c>
      <c r="P133" s="194"/>
      <c r="Q133" s="194"/>
      <c r="R133" s="194"/>
      <c r="S133" s="194">
        <v>1713.3409913698388</v>
      </c>
      <c r="T133" s="195">
        <v>1.0616838235556545</v>
      </c>
    </row>
    <row r="134" spans="1:20" x14ac:dyDescent="0.25">
      <c r="A134" s="192" t="s">
        <v>339</v>
      </c>
      <c r="B134" s="120" t="s">
        <v>57</v>
      </c>
      <c r="C134" s="194">
        <v>2464.4010958904182</v>
      </c>
      <c r="D134" s="194">
        <v>2434.7649315068566</v>
      </c>
      <c r="E134" s="194">
        <v>29.636164383561724</v>
      </c>
      <c r="F134" s="194">
        <v>2070.8707630136141</v>
      </c>
      <c r="G134" s="194">
        <v>353.18863664383326</v>
      </c>
      <c r="H134" s="194">
        <v>25.009150684931516</v>
      </c>
      <c r="I134" s="194">
        <v>3.5211369863013702</v>
      </c>
      <c r="J134" s="194">
        <v>25.487101369862984</v>
      </c>
      <c r="K134" s="194">
        <v>8.4591780821917926</v>
      </c>
      <c r="L134" s="194">
        <v>79.241479452054591</v>
      </c>
      <c r="M134" s="194">
        <v>79.241479452054591</v>
      </c>
      <c r="N134" s="194">
        <v>61.916767123288665</v>
      </c>
      <c r="O134" s="194">
        <v>61.916767123288665</v>
      </c>
      <c r="P134" s="194">
        <v>-1.7934979534246573</v>
      </c>
      <c r="Q134" s="194">
        <v>3.435745273972604</v>
      </c>
      <c r="R134" s="194">
        <v>0.8416438356164383</v>
      </c>
      <c r="S134" s="194">
        <v>2621.7189264300514</v>
      </c>
      <c r="T134" s="195">
        <v>1.063836130734553</v>
      </c>
    </row>
    <row r="135" spans="1:20" x14ac:dyDescent="0.25">
      <c r="A135" s="192" t="s">
        <v>365</v>
      </c>
      <c r="B135" s="120" t="s">
        <v>34</v>
      </c>
      <c r="C135" s="194">
        <v>2179.2452054794026</v>
      </c>
      <c r="D135" s="194">
        <v>2179.2452054794026</v>
      </c>
      <c r="E135" s="194"/>
      <c r="F135" s="194">
        <v>1501.502780821957</v>
      </c>
      <c r="G135" s="194">
        <v>112.58273369863021</v>
      </c>
      <c r="H135" s="194"/>
      <c r="I135" s="194">
        <v>132.33139726027227</v>
      </c>
      <c r="J135" s="194"/>
      <c r="K135" s="194">
        <v>7.9269041095890405</v>
      </c>
      <c r="L135" s="194">
        <v>83.864383561642754</v>
      </c>
      <c r="M135" s="194">
        <v>83.864383561642754</v>
      </c>
      <c r="N135" s="194"/>
      <c r="O135" s="194"/>
      <c r="P135" s="194"/>
      <c r="Q135" s="194"/>
      <c r="R135" s="194"/>
      <c r="S135" s="194">
        <v>1830.2812953425021</v>
      </c>
      <c r="T135" s="195">
        <v>0.83986936887162567</v>
      </c>
    </row>
    <row r="136" spans="1:20" x14ac:dyDescent="0.25">
      <c r="A136" s="192" t="s">
        <v>379</v>
      </c>
      <c r="B136" s="120" t="s">
        <v>24</v>
      </c>
      <c r="C136" s="194">
        <v>15.271232876712327</v>
      </c>
      <c r="D136" s="194">
        <v>15.271232876712327</v>
      </c>
      <c r="E136" s="194"/>
      <c r="F136" s="194"/>
      <c r="G136" s="194">
        <v>8.2311945205479589</v>
      </c>
      <c r="H136" s="194"/>
      <c r="I136" s="194"/>
      <c r="J136" s="194"/>
      <c r="K136" s="194"/>
      <c r="L136" s="194"/>
      <c r="M136" s="194"/>
      <c r="N136" s="194"/>
      <c r="O136" s="194"/>
      <c r="P136" s="194"/>
      <c r="Q136" s="194">
        <v>2.0577986301369897</v>
      </c>
      <c r="R136" s="194"/>
      <c r="S136" s="194">
        <v>10.288993150684949</v>
      </c>
      <c r="T136" s="195">
        <v>0.67375000000000118</v>
      </c>
    </row>
    <row r="137" spans="1:20" x14ac:dyDescent="0.25">
      <c r="A137" s="192" t="s">
        <v>309</v>
      </c>
      <c r="B137" s="120" t="s">
        <v>82</v>
      </c>
      <c r="C137" s="194">
        <v>4147.4109589040345</v>
      </c>
      <c r="D137" s="194">
        <v>4137.3309589040346</v>
      </c>
      <c r="E137" s="194">
        <v>10.080000000000013</v>
      </c>
      <c r="F137" s="194">
        <v>3309.5752630136635</v>
      </c>
      <c r="G137" s="194">
        <v>660.87495657534237</v>
      </c>
      <c r="H137" s="194">
        <v>54.182630136986283</v>
      </c>
      <c r="I137" s="194">
        <v>2.6326438356164372</v>
      </c>
      <c r="J137" s="194">
        <v>8.6688000000000045</v>
      </c>
      <c r="K137" s="194">
        <v>16.246684931506863</v>
      </c>
      <c r="L137" s="194">
        <v>239.52627397260196</v>
      </c>
      <c r="M137" s="194">
        <v>239.52627397260196</v>
      </c>
      <c r="N137" s="194">
        <v>31.061150684931736</v>
      </c>
      <c r="O137" s="194">
        <v>31.061150684931736</v>
      </c>
      <c r="P137" s="194">
        <v>-7.4985709589040814</v>
      </c>
      <c r="Q137" s="194">
        <v>15.431935650684965</v>
      </c>
      <c r="R137" s="194"/>
      <c r="S137" s="194">
        <v>4314.455082910923</v>
      </c>
      <c r="T137" s="195">
        <v>1.0402767233973396</v>
      </c>
    </row>
    <row r="138" spans="1:20" x14ac:dyDescent="0.25">
      <c r="A138" s="192" t="s">
        <v>375</v>
      </c>
      <c r="B138" s="120" t="s">
        <v>27</v>
      </c>
      <c r="C138" s="194">
        <v>2485.3495890411459</v>
      </c>
      <c r="D138" s="194">
        <v>2437.3167123288172</v>
      </c>
      <c r="E138" s="194">
        <v>48.032876712328815</v>
      </c>
      <c r="F138" s="194">
        <v>2423.684010958918</v>
      </c>
      <c r="G138" s="194">
        <v>181.96697064383591</v>
      </c>
      <c r="H138" s="194">
        <v>55.959616438356164</v>
      </c>
      <c r="I138" s="194">
        <v>1.4756712328767119</v>
      </c>
      <c r="J138" s="194">
        <v>41.308273972602663</v>
      </c>
      <c r="K138" s="194">
        <v>10.089698630137006</v>
      </c>
      <c r="L138" s="194">
        <v>173.0928082191771</v>
      </c>
      <c r="M138" s="194">
        <v>173.0928082191771</v>
      </c>
      <c r="N138" s="194">
        <v>37.11867808219187</v>
      </c>
      <c r="O138" s="194">
        <v>37.11867808219187</v>
      </c>
      <c r="P138" s="194"/>
      <c r="Q138" s="194">
        <v>1.4608003904109588</v>
      </c>
      <c r="R138" s="194"/>
      <c r="S138" s="194">
        <v>2916.0668299383692</v>
      </c>
      <c r="T138" s="195">
        <v>1.1733024773643215</v>
      </c>
    </row>
    <row r="139" spans="1:20" x14ac:dyDescent="0.25">
      <c r="A139" s="192" t="s">
        <v>360</v>
      </c>
      <c r="B139" s="120" t="s">
        <v>37</v>
      </c>
      <c r="C139" s="194">
        <v>3384.2912328766688</v>
      </c>
      <c r="D139" s="194">
        <v>3322.33835616434</v>
      </c>
      <c r="E139" s="194">
        <v>61.952876712328937</v>
      </c>
      <c r="F139" s="194">
        <v>2795.9389068493433</v>
      </c>
      <c r="G139" s="194">
        <v>424.79524547944266</v>
      </c>
      <c r="H139" s="194">
        <v>76.016383561643778</v>
      </c>
      <c r="I139" s="194">
        <v>4.4038356164383528</v>
      </c>
      <c r="J139" s="194">
        <v>53.279473972602638</v>
      </c>
      <c r="K139" s="194">
        <v>10.912109589041114</v>
      </c>
      <c r="L139" s="194">
        <v>205.94986301369866</v>
      </c>
      <c r="M139" s="194">
        <v>205.94986301369866</v>
      </c>
      <c r="N139" s="194">
        <v>7.9317534246575363</v>
      </c>
      <c r="O139" s="194">
        <v>7.9317534246575363</v>
      </c>
      <c r="P139" s="194">
        <v>-14.954935063561697</v>
      </c>
      <c r="Q139" s="194">
        <v>11.659813630136924</v>
      </c>
      <c r="R139" s="194">
        <v>12.812273972602743</v>
      </c>
      <c r="S139" s="194">
        <v>3577.8326144570046</v>
      </c>
      <c r="T139" s="195">
        <v>1.0571881579517095</v>
      </c>
    </row>
    <row r="140" spans="1:20" x14ac:dyDescent="0.25">
      <c r="A140" s="192" t="s">
        <v>372</v>
      </c>
      <c r="B140" s="120" t="s">
        <v>29</v>
      </c>
      <c r="C140" s="194">
        <v>105.439232876712</v>
      </c>
      <c r="D140" s="194">
        <v>105.439232876712</v>
      </c>
      <c r="E140" s="194"/>
      <c r="F140" s="194">
        <v>127.39602739726043</v>
      </c>
      <c r="G140" s="194">
        <v>19.051902838356135</v>
      </c>
      <c r="H140" s="194"/>
      <c r="I140" s="194">
        <v>0.45583561643835613</v>
      </c>
      <c r="J140" s="194"/>
      <c r="K140" s="194">
        <v>0.32449315068493156</v>
      </c>
      <c r="L140" s="194">
        <v>6.3698630136986374</v>
      </c>
      <c r="M140" s="194">
        <v>6.3698630136986374</v>
      </c>
      <c r="N140" s="194">
        <v>24.930246575342402</v>
      </c>
      <c r="O140" s="194">
        <v>24.930246575342402</v>
      </c>
      <c r="P140" s="194"/>
      <c r="Q140" s="194"/>
      <c r="R140" s="194"/>
      <c r="S140" s="194">
        <v>178.20387544109596</v>
      </c>
      <c r="T140" s="195">
        <v>1.6901097492758339</v>
      </c>
    </row>
    <row r="141" spans="1:20" x14ac:dyDescent="0.25">
      <c r="A141" s="192" t="s">
        <v>303</v>
      </c>
      <c r="B141" s="120" t="s">
        <v>84</v>
      </c>
      <c r="C141" s="194">
        <v>116.84383561643833</v>
      </c>
      <c r="D141" s="194">
        <v>116.84383561643833</v>
      </c>
      <c r="E141" s="194"/>
      <c r="F141" s="194"/>
      <c r="G141" s="194">
        <v>76.937830410958938</v>
      </c>
      <c r="H141" s="194"/>
      <c r="I141" s="194"/>
      <c r="J141" s="194"/>
      <c r="K141" s="194"/>
      <c r="L141" s="194"/>
      <c r="M141" s="194"/>
      <c r="N141" s="194"/>
      <c r="O141" s="194"/>
      <c r="P141" s="194"/>
      <c r="Q141" s="194"/>
      <c r="R141" s="194"/>
      <c r="S141" s="194">
        <v>76.937830410958938</v>
      </c>
      <c r="T141" s="195">
        <v>0.65846717548302425</v>
      </c>
    </row>
    <row r="142" spans="1:20" x14ac:dyDescent="0.25">
      <c r="A142" s="192" t="s">
        <v>359</v>
      </c>
      <c r="B142" s="120" t="s">
        <v>38</v>
      </c>
      <c r="C142" s="194">
        <v>521.61095890410104</v>
      </c>
      <c r="D142" s="194">
        <v>521.61095890410104</v>
      </c>
      <c r="E142" s="194"/>
      <c r="F142" s="194">
        <v>419.4126246575338</v>
      </c>
      <c r="G142" s="194">
        <v>212.83467895890948</v>
      </c>
      <c r="H142" s="194"/>
      <c r="I142" s="194"/>
      <c r="J142" s="194"/>
      <c r="K142" s="194">
        <v>0.50284931506849317</v>
      </c>
      <c r="L142" s="194">
        <v>9.2561643835616518</v>
      </c>
      <c r="M142" s="194">
        <v>9.2561643835616518</v>
      </c>
      <c r="N142" s="194">
        <v>34.665983561644254</v>
      </c>
      <c r="O142" s="194">
        <v>34.665983561644254</v>
      </c>
      <c r="P142" s="194">
        <v>-0.89559944657534252</v>
      </c>
      <c r="Q142" s="194"/>
      <c r="R142" s="194"/>
      <c r="S142" s="194">
        <v>675.27385211507385</v>
      </c>
      <c r="T142" s="195">
        <v>1.2945929156354719</v>
      </c>
    </row>
    <row r="143" spans="1:20" x14ac:dyDescent="0.25">
      <c r="A143" s="192" t="s">
        <v>290</v>
      </c>
      <c r="B143" s="120" t="s">
        <v>94</v>
      </c>
      <c r="C143" s="194">
        <v>1373.2347945205479</v>
      </c>
      <c r="D143" s="194">
        <v>1373.2347945205479</v>
      </c>
      <c r="E143" s="194"/>
      <c r="F143" s="194">
        <v>984.16924931505821</v>
      </c>
      <c r="G143" s="194">
        <v>150.18083375342462</v>
      </c>
      <c r="H143" s="194"/>
      <c r="I143" s="194">
        <v>5.6554520547945186</v>
      </c>
      <c r="J143" s="194"/>
      <c r="K143" s="194">
        <v>5.0419726027397296</v>
      </c>
      <c r="L143" s="194">
        <v>46.826986301369928</v>
      </c>
      <c r="M143" s="194">
        <v>46.826986301369928</v>
      </c>
      <c r="N143" s="194"/>
      <c r="O143" s="194"/>
      <c r="P143" s="194"/>
      <c r="Q143" s="194">
        <v>1.7115201369863002</v>
      </c>
      <c r="R143" s="194"/>
      <c r="S143" s="194">
        <v>1188.5440415616338</v>
      </c>
      <c r="T143" s="195">
        <v>0.86550679192235502</v>
      </c>
    </row>
    <row r="144" spans="1:20" x14ac:dyDescent="0.25">
      <c r="A144" s="192" t="s">
        <v>267</v>
      </c>
      <c r="B144" s="120" t="s">
        <v>115</v>
      </c>
      <c r="C144" s="194">
        <v>1849.6008219178148</v>
      </c>
      <c r="D144" s="194">
        <v>1848.0367123287735</v>
      </c>
      <c r="E144" s="194">
        <v>1.5641095890410981</v>
      </c>
      <c r="F144" s="194">
        <v>1560.8475616438625</v>
      </c>
      <c r="G144" s="194">
        <v>112.66056909589049</v>
      </c>
      <c r="H144" s="194">
        <v>122.71249315068518</v>
      </c>
      <c r="I144" s="194">
        <v>27.848465753424499</v>
      </c>
      <c r="J144" s="194">
        <v>1.345134246575342</v>
      </c>
      <c r="K144" s="194">
        <v>3.2163287671232865</v>
      </c>
      <c r="L144" s="194">
        <v>162.89843835616415</v>
      </c>
      <c r="M144" s="194">
        <v>162.89843835616415</v>
      </c>
      <c r="N144" s="194">
        <v>1.3479452054794519E-2</v>
      </c>
      <c r="O144" s="194">
        <v>1.3479452054794519E-2</v>
      </c>
      <c r="P144" s="194"/>
      <c r="Q144" s="194"/>
      <c r="R144" s="194"/>
      <c r="S144" s="194">
        <v>1988.3261416986568</v>
      </c>
      <c r="T144" s="195">
        <v>1.0750028428496265</v>
      </c>
    </row>
    <row r="145" spans="1:20" x14ac:dyDescent="0.25">
      <c r="A145" s="192" t="s">
        <v>383</v>
      </c>
      <c r="B145" s="120" t="s">
        <v>181</v>
      </c>
      <c r="C145" s="194">
        <v>21.969452054794516</v>
      </c>
      <c r="D145" s="194"/>
      <c r="E145" s="194">
        <v>21.969452054794516</v>
      </c>
      <c r="F145" s="194"/>
      <c r="G145" s="194"/>
      <c r="H145" s="194"/>
      <c r="I145" s="194"/>
      <c r="J145" s="194">
        <v>18.893728767123214</v>
      </c>
      <c r="K145" s="194"/>
      <c r="L145" s="194"/>
      <c r="M145" s="194"/>
      <c r="N145" s="194"/>
      <c r="O145" s="194"/>
      <c r="P145" s="194"/>
      <c r="Q145" s="194"/>
      <c r="R145" s="194"/>
      <c r="S145" s="194">
        <v>18.893728767123214</v>
      </c>
      <c r="T145" s="195">
        <v>0.85999999999999688</v>
      </c>
    </row>
    <row r="146" spans="1:20" x14ac:dyDescent="0.25">
      <c r="A146" s="192" t="s">
        <v>384</v>
      </c>
      <c r="B146" s="120" t="s">
        <v>22</v>
      </c>
      <c r="C146" s="194">
        <v>1095.3808219178184</v>
      </c>
      <c r="D146" s="194">
        <v>1095.3808219178184</v>
      </c>
      <c r="E146" s="194"/>
      <c r="F146" s="194">
        <v>679.72805479450415</v>
      </c>
      <c r="G146" s="194"/>
      <c r="H146" s="194">
        <v>563.57893150684731</v>
      </c>
      <c r="I146" s="194"/>
      <c r="J146" s="194"/>
      <c r="K146" s="194">
        <v>2.6791232876712288</v>
      </c>
      <c r="L146" s="194">
        <v>4095.7158904111147</v>
      </c>
      <c r="M146" s="194">
        <v>4095.7158904111147</v>
      </c>
      <c r="N146" s="194">
        <v>311.4459178082102</v>
      </c>
      <c r="O146" s="194">
        <v>311.4459178082102</v>
      </c>
      <c r="P146" s="194"/>
      <c r="Q146" s="194"/>
      <c r="R146" s="194"/>
      <c r="S146" s="194">
        <v>5650.468794520677</v>
      </c>
      <c r="T146" s="195">
        <v>5.1584514549266105</v>
      </c>
    </row>
    <row r="147" spans="1:20" x14ac:dyDescent="0.25">
      <c r="A147" s="192" t="s">
        <v>217</v>
      </c>
      <c r="B147" s="120" t="s">
        <v>199</v>
      </c>
      <c r="C147" s="194">
        <v>2949.5950684931204</v>
      </c>
      <c r="D147" s="194">
        <v>2889.207123287641</v>
      </c>
      <c r="E147" s="194">
        <v>60.387945205479497</v>
      </c>
      <c r="F147" s="194">
        <v>1979.6551205479384</v>
      </c>
      <c r="G147" s="194">
        <v>501.9606625753359</v>
      </c>
      <c r="H147" s="194">
        <v>70.735643835616429</v>
      </c>
      <c r="I147" s="194">
        <v>14.909301369863025</v>
      </c>
      <c r="J147" s="194">
        <v>51.933632876712416</v>
      </c>
      <c r="K147" s="194">
        <v>7.277589041095891</v>
      </c>
      <c r="L147" s="194">
        <v>96.643835616437812</v>
      </c>
      <c r="M147" s="194">
        <v>96.643835616437812</v>
      </c>
      <c r="N147" s="194">
        <v>6.1295068493150744</v>
      </c>
      <c r="O147" s="194">
        <v>6.1295068493150744</v>
      </c>
      <c r="P147" s="194">
        <v>-1.5027081917808207</v>
      </c>
      <c r="Q147" s="194">
        <v>9.2391485616438516</v>
      </c>
      <c r="R147" s="194"/>
      <c r="S147" s="194">
        <v>2729.7041440410821</v>
      </c>
      <c r="T147" s="195">
        <v>0.92545047054056606</v>
      </c>
    </row>
    <row r="148" spans="1:20" x14ac:dyDescent="0.25">
      <c r="A148" s="192" t="s">
        <v>446</v>
      </c>
      <c r="B148" s="120" t="s">
        <v>447</v>
      </c>
      <c r="C148" s="194">
        <v>80.791232876712087</v>
      </c>
      <c r="D148" s="194">
        <v>80.791232876712087</v>
      </c>
      <c r="E148" s="194"/>
      <c r="F148" s="194">
        <v>120.70844383561644</v>
      </c>
      <c r="G148" s="194">
        <v>4.616139452054794</v>
      </c>
      <c r="H148" s="194"/>
      <c r="I148" s="194"/>
      <c r="J148" s="194"/>
      <c r="K148" s="194">
        <v>2.1369863013698631E-3</v>
      </c>
      <c r="L148" s="194"/>
      <c r="M148" s="194"/>
      <c r="N148" s="194"/>
      <c r="O148" s="194"/>
      <c r="P148" s="194"/>
      <c r="Q148" s="194"/>
      <c r="R148" s="194"/>
      <c r="S148" s="194">
        <v>125.32458328767123</v>
      </c>
      <c r="T148" s="195">
        <v>1.5512151359160138</v>
      </c>
    </row>
    <row r="149" spans="1:20" x14ac:dyDescent="0.25">
      <c r="A149" s="192" t="s">
        <v>444</v>
      </c>
      <c r="B149" s="120" t="s">
        <v>445</v>
      </c>
      <c r="C149" s="194">
        <v>4508.3150684924431</v>
      </c>
      <c r="D149" s="194">
        <v>4425.4821917801146</v>
      </c>
      <c r="E149" s="194">
        <v>82.83287671232857</v>
      </c>
      <c r="F149" s="194">
        <v>1718.6855753424668</v>
      </c>
      <c r="G149" s="194">
        <v>1828.4792616712791</v>
      </c>
      <c r="H149" s="194">
        <v>49.288191780821919</v>
      </c>
      <c r="I149" s="194">
        <v>4.0136712328767112</v>
      </c>
      <c r="J149" s="194">
        <v>71.236273972602532</v>
      </c>
      <c r="K149" s="194"/>
      <c r="L149" s="194">
        <v>1.8301369863013692</v>
      </c>
      <c r="M149" s="194">
        <v>1.8301369863013692</v>
      </c>
      <c r="N149" s="194"/>
      <c r="O149" s="194"/>
      <c r="P149" s="194">
        <v>-10.443749824109601</v>
      </c>
      <c r="Q149" s="194">
        <v>29.819172945205757</v>
      </c>
      <c r="R149" s="194"/>
      <c r="S149" s="194">
        <v>3692.9085341074447</v>
      </c>
      <c r="T149" s="195">
        <v>0.81913275314680489</v>
      </c>
    </row>
    <row r="150" spans="1:20" x14ac:dyDescent="0.25">
      <c r="A150" s="193" t="s">
        <v>16</v>
      </c>
      <c r="B150" s="206"/>
      <c r="C150" s="196">
        <v>173444.80531506805</v>
      </c>
      <c r="D150" s="196">
        <v>171100.00358904069</v>
      </c>
      <c r="E150" s="196">
        <v>2344.8017260273609</v>
      </c>
      <c r="F150" s="196">
        <v>137125.93442931477</v>
      </c>
      <c r="G150" s="196">
        <v>23952.301832679423</v>
      </c>
      <c r="H150" s="196">
        <v>6352.414475342458</v>
      </c>
      <c r="I150" s="196">
        <v>943.05068630137202</v>
      </c>
      <c r="J150" s="196">
        <v>2016.5294843835372</v>
      </c>
      <c r="K150" s="196">
        <v>513.6967331506828</v>
      </c>
      <c r="L150" s="196">
        <v>24505.880665753451</v>
      </c>
      <c r="M150" s="196">
        <v>24504.645595181377</v>
      </c>
      <c r="N150" s="196">
        <v>3145.593328767126</v>
      </c>
      <c r="O150" s="196">
        <v>3143.9604520547973</v>
      </c>
      <c r="P150" s="196">
        <v>-393.20817356416046</v>
      </c>
      <c r="Q150" s="196">
        <v>357.47909115068637</v>
      </c>
      <c r="R150" s="196">
        <v>152.92430027397253</v>
      </c>
      <c r="S150" s="196">
        <v>198156.03217311826</v>
      </c>
      <c r="T150" s="197">
        <v>1.1424731447745653</v>
      </c>
    </row>
    <row r="152" spans="1:20" x14ac:dyDescent="0.25">
      <c r="A152" t="s">
        <v>515</v>
      </c>
    </row>
    <row r="153" spans="1:20" x14ac:dyDescent="0.25">
      <c r="A153" s="177" t="s">
        <v>516</v>
      </c>
    </row>
  </sheetData>
  <hyperlinks>
    <hyperlink ref="A153" r:id="rId1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5">
    <tabColor theme="9" tint="0.59999389629810485"/>
  </sheetPr>
  <dimension ref="A1:Q143"/>
  <sheetViews>
    <sheetView zoomScale="90" zoomScaleNormal="90" workbookViewId="0">
      <pane xSplit="2" ySplit="3" topLeftCell="C4" activePane="bottomRight" state="frozen"/>
      <selection pane="topRight" activeCell="C1" sqref="C1"/>
      <selection pane="bottomLeft" activeCell="A5" sqref="A5"/>
      <selection pane="bottomRight"/>
    </sheetView>
  </sheetViews>
  <sheetFormatPr defaultColWidth="19.5703125" defaultRowHeight="15" x14ac:dyDescent="0.25"/>
  <cols>
    <col min="1" max="1" width="11.7109375" customWidth="1"/>
    <col min="2" max="2" width="45.85546875" customWidth="1"/>
    <col min="3" max="17" width="17.42578125" customWidth="1"/>
  </cols>
  <sheetData>
    <row r="1" spans="1:17" ht="19.5" x14ac:dyDescent="0.3">
      <c r="A1" s="136" t="s">
        <v>632</v>
      </c>
      <c r="B1" s="4"/>
    </row>
    <row r="2" spans="1:17" x14ac:dyDescent="0.25">
      <c r="A2" s="12" t="s">
        <v>628</v>
      </c>
      <c r="P2" s="8"/>
    </row>
    <row r="3" spans="1:17" ht="96" customHeight="1" x14ac:dyDescent="0.25">
      <c r="A3" s="44" t="s">
        <v>12</v>
      </c>
      <c r="B3" s="118"/>
      <c r="C3" s="44" t="s">
        <v>1</v>
      </c>
      <c r="D3" s="44" t="s">
        <v>2</v>
      </c>
      <c r="E3" s="44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422</v>
      </c>
      <c r="N3" s="44" t="s">
        <v>423</v>
      </c>
      <c r="O3" s="44" t="s">
        <v>442</v>
      </c>
      <c r="P3" s="44" t="s">
        <v>11</v>
      </c>
      <c r="Q3" s="44" t="s">
        <v>443</v>
      </c>
    </row>
    <row r="4" spans="1:17" x14ac:dyDescent="0.25">
      <c r="A4" s="192" t="s">
        <v>340</v>
      </c>
      <c r="B4" s="119" t="s">
        <v>56</v>
      </c>
      <c r="C4" s="202">
        <v>27</v>
      </c>
      <c r="D4" s="202"/>
      <c r="E4" s="202">
        <v>272</v>
      </c>
      <c r="F4" s="202"/>
      <c r="G4" s="203">
        <v>1238.2199999999998</v>
      </c>
      <c r="H4" s="203"/>
      <c r="I4" s="203"/>
      <c r="J4" s="203">
        <v>4674.1499999999996</v>
      </c>
      <c r="K4" s="203"/>
      <c r="L4" s="203"/>
      <c r="M4" s="203">
        <v>1238.2199999999998</v>
      </c>
      <c r="N4" s="203">
        <v>4674.1499999999996</v>
      </c>
      <c r="O4" s="203">
        <v>4674.1499999999996</v>
      </c>
      <c r="P4" s="203">
        <v>5912.369999999999</v>
      </c>
      <c r="Q4" s="204">
        <v>3.7954505383186671E-4</v>
      </c>
    </row>
    <row r="5" spans="1:17" x14ac:dyDescent="0.25">
      <c r="A5" s="192" t="s">
        <v>264</v>
      </c>
      <c r="B5" s="119" t="s">
        <v>116</v>
      </c>
      <c r="C5" s="202">
        <v>11</v>
      </c>
      <c r="D5" s="202"/>
      <c r="E5" s="202">
        <v>173</v>
      </c>
      <c r="F5" s="202"/>
      <c r="G5" s="203">
        <v>974.15999999999985</v>
      </c>
      <c r="H5" s="203"/>
      <c r="I5" s="203"/>
      <c r="J5" s="203">
        <v>3338.3700000000008</v>
      </c>
      <c r="K5" s="203"/>
      <c r="L5" s="203"/>
      <c r="M5" s="203">
        <v>974.15999999999985</v>
      </c>
      <c r="N5" s="203">
        <v>3338.3700000000008</v>
      </c>
      <c r="O5" s="203">
        <v>3338.3700000000008</v>
      </c>
      <c r="P5" s="203">
        <v>4312.5300000000007</v>
      </c>
      <c r="Q5" s="204">
        <v>2.7684320010444894E-4</v>
      </c>
    </row>
    <row r="6" spans="1:17" x14ac:dyDescent="0.25">
      <c r="A6" s="192" t="s">
        <v>229</v>
      </c>
      <c r="B6" s="119" t="s">
        <v>140</v>
      </c>
      <c r="C6" s="202">
        <v>893</v>
      </c>
      <c r="D6" s="202">
        <v>302</v>
      </c>
      <c r="E6" s="202">
        <v>10315</v>
      </c>
      <c r="F6" s="202">
        <v>1125</v>
      </c>
      <c r="G6" s="203">
        <v>60947.514719999861</v>
      </c>
      <c r="H6" s="203">
        <v>6146.3633719999943</v>
      </c>
      <c r="I6" s="203">
        <v>1332</v>
      </c>
      <c r="J6" s="203">
        <v>186455.10000000024</v>
      </c>
      <c r="K6" s="203">
        <v>26974.949785686818</v>
      </c>
      <c r="L6" s="203">
        <v>6437</v>
      </c>
      <c r="M6" s="203">
        <v>68425.878091999853</v>
      </c>
      <c r="N6" s="203">
        <v>219867.04978568706</v>
      </c>
      <c r="O6" s="203">
        <v>219867.04978568706</v>
      </c>
      <c r="P6" s="203">
        <v>288292.92787768692</v>
      </c>
      <c r="Q6" s="204">
        <v>1.850698701716624E-2</v>
      </c>
    </row>
    <row r="7" spans="1:17" x14ac:dyDescent="0.25">
      <c r="A7" s="192" t="s">
        <v>335</v>
      </c>
      <c r="B7" s="119" t="s">
        <v>64</v>
      </c>
      <c r="C7" s="202">
        <v>43</v>
      </c>
      <c r="D7" s="202">
        <v>31</v>
      </c>
      <c r="E7" s="202">
        <v>505</v>
      </c>
      <c r="F7" s="202">
        <v>111</v>
      </c>
      <c r="G7" s="203">
        <v>4553.442</v>
      </c>
      <c r="H7" s="203">
        <v>527.23888599999964</v>
      </c>
      <c r="I7" s="203"/>
      <c r="J7" s="203">
        <v>14441.100000000002</v>
      </c>
      <c r="K7" s="203">
        <v>2739.8250000000012</v>
      </c>
      <c r="L7" s="203">
        <v>1.5</v>
      </c>
      <c r="M7" s="203">
        <v>5080.6808860000001</v>
      </c>
      <c r="N7" s="203">
        <v>17182.425000000003</v>
      </c>
      <c r="O7" s="203">
        <v>15764.740708729476</v>
      </c>
      <c r="P7" s="203">
        <v>20845.421594729476</v>
      </c>
      <c r="Q7" s="204">
        <v>1.3381734670393696E-3</v>
      </c>
    </row>
    <row r="8" spans="1:17" x14ac:dyDescent="0.25">
      <c r="A8" s="192" t="s">
        <v>273</v>
      </c>
      <c r="B8" s="119" t="s">
        <v>110</v>
      </c>
      <c r="C8" s="202">
        <v>669</v>
      </c>
      <c r="D8" s="202">
        <v>217</v>
      </c>
      <c r="E8" s="202">
        <v>6181</v>
      </c>
      <c r="F8" s="202">
        <v>803</v>
      </c>
      <c r="G8" s="203">
        <v>39411.450431999554</v>
      </c>
      <c r="H8" s="203">
        <v>3015.5163040000116</v>
      </c>
      <c r="I8" s="203">
        <v>3240</v>
      </c>
      <c r="J8" s="203">
        <v>117420.5899999995</v>
      </c>
      <c r="K8" s="203">
        <v>16608.240000000042</v>
      </c>
      <c r="L8" s="203">
        <v>8453.75</v>
      </c>
      <c r="M8" s="203">
        <v>45666.966735999566</v>
      </c>
      <c r="N8" s="203">
        <v>142482.57999999955</v>
      </c>
      <c r="O8" s="203">
        <v>142482.57999999955</v>
      </c>
      <c r="P8" s="203">
        <v>188149.54673599912</v>
      </c>
      <c r="Q8" s="204">
        <v>1.2078274844834832E-2</v>
      </c>
    </row>
    <row r="9" spans="1:17" x14ac:dyDescent="0.25">
      <c r="A9" s="192" t="s">
        <v>244</v>
      </c>
      <c r="B9" s="119" t="s">
        <v>130</v>
      </c>
      <c r="C9" s="202">
        <v>233</v>
      </c>
      <c r="D9" s="202">
        <v>312</v>
      </c>
      <c r="E9" s="202">
        <v>2576</v>
      </c>
      <c r="F9" s="202">
        <v>1519</v>
      </c>
      <c r="G9" s="203">
        <v>11848.553334000051</v>
      </c>
      <c r="H9" s="203">
        <v>5068.4906079999955</v>
      </c>
      <c r="I9" s="203"/>
      <c r="J9" s="203">
        <v>51816.199999999917</v>
      </c>
      <c r="K9" s="203">
        <v>29428.577871432401</v>
      </c>
      <c r="L9" s="203">
        <v>40</v>
      </c>
      <c r="M9" s="203">
        <v>16917.043942000048</v>
      </c>
      <c r="N9" s="203">
        <v>81284.777871432321</v>
      </c>
      <c r="O9" s="203">
        <v>81284.777871432321</v>
      </c>
      <c r="P9" s="203">
        <v>98201.821813432369</v>
      </c>
      <c r="Q9" s="204">
        <v>6.3040736196426439E-3</v>
      </c>
    </row>
    <row r="10" spans="1:17" x14ac:dyDescent="0.25">
      <c r="A10" s="192" t="s">
        <v>337</v>
      </c>
      <c r="B10" s="119" t="s">
        <v>62</v>
      </c>
      <c r="C10" s="202">
        <v>140</v>
      </c>
      <c r="D10" s="202">
        <v>47</v>
      </c>
      <c r="E10" s="202">
        <v>1856</v>
      </c>
      <c r="F10" s="202">
        <v>214</v>
      </c>
      <c r="G10" s="203">
        <v>9562.1360220000079</v>
      </c>
      <c r="H10" s="203">
        <v>493.96965999999964</v>
      </c>
      <c r="I10" s="203">
        <v>25586.640000000029</v>
      </c>
      <c r="J10" s="203">
        <v>34542.789999999972</v>
      </c>
      <c r="K10" s="203">
        <v>5045.7330000000002</v>
      </c>
      <c r="L10" s="203">
        <v>91170.750000000073</v>
      </c>
      <c r="M10" s="203">
        <v>35642.745682000037</v>
      </c>
      <c r="N10" s="203">
        <v>130759.27300000004</v>
      </c>
      <c r="O10" s="203">
        <v>130759.27300000004</v>
      </c>
      <c r="P10" s="203">
        <v>166402.01868200008</v>
      </c>
      <c r="Q10" s="204">
        <v>1.0682190583199466E-2</v>
      </c>
    </row>
    <row r="11" spans="1:17" x14ac:dyDescent="0.25">
      <c r="A11" s="192" t="s">
        <v>315</v>
      </c>
      <c r="B11" s="119" t="s">
        <v>78</v>
      </c>
      <c r="C11" s="202">
        <v>16</v>
      </c>
      <c r="D11" s="202"/>
      <c r="E11" s="202">
        <v>125</v>
      </c>
      <c r="F11" s="202"/>
      <c r="G11" s="203">
        <v>1659.9599999999994</v>
      </c>
      <c r="H11" s="203"/>
      <c r="I11" s="203"/>
      <c r="J11" s="203">
        <v>3769.0200000000004</v>
      </c>
      <c r="K11" s="203"/>
      <c r="L11" s="203"/>
      <c r="M11" s="203">
        <v>1659.9599999999994</v>
      </c>
      <c r="N11" s="203">
        <v>3769.0200000000004</v>
      </c>
      <c r="O11" s="203">
        <v>3769.0200000000004</v>
      </c>
      <c r="P11" s="203">
        <v>5428.98</v>
      </c>
      <c r="Q11" s="204">
        <v>3.4851379503517675E-4</v>
      </c>
    </row>
    <row r="12" spans="1:17" x14ac:dyDescent="0.25">
      <c r="A12" s="192" t="s">
        <v>316</v>
      </c>
      <c r="B12" s="119" t="s">
        <v>77</v>
      </c>
      <c r="C12" s="202"/>
      <c r="D12" s="202">
        <v>19</v>
      </c>
      <c r="E12" s="202"/>
      <c r="F12" s="202">
        <v>93</v>
      </c>
      <c r="G12" s="203"/>
      <c r="H12" s="203">
        <v>298.30656299999998</v>
      </c>
      <c r="I12" s="203"/>
      <c r="J12" s="203"/>
      <c r="K12" s="203">
        <v>1536.9749999999999</v>
      </c>
      <c r="L12" s="203"/>
      <c r="M12" s="203">
        <v>298.30656299999998</v>
      </c>
      <c r="N12" s="203">
        <v>1536.9749999999999</v>
      </c>
      <c r="O12" s="203">
        <v>1536.9749999999999</v>
      </c>
      <c r="P12" s="203">
        <v>1835.281563</v>
      </c>
      <c r="Q12" s="204">
        <v>1.1781604324923298E-4</v>
      </c>
    </row>
    <row r="13" spans="1:17" x14ac:dyDescent="0.25">
      <c r="A13" s="192" t="s">
        <v>385</v>
      </c>
      <c r="B13" s="119" t="s">
        <v>19</v>
      </c>
      <c r="C13" s="202">
        <v>17</v>
      </c>
      <c r="D13" s="202"/>
      <c r="E13" s="202">
        <v>220</v>
      </c>
      <c r="F13" s="202"/>
      <c r="G13" s="203">
        <v>1211.76</v>
      </c>
      <c r="H13" s="203"/>
      <c r="I13" s="203">
        <v>3398.4</v>
      </c>
      <c r="J13" s="203">
        <v>2599.2399999999993</v>
      </c>
      <c r="K13" s="203"/>
      <c r="L13" s="203">
        <v>7463.79</v>
      </c>
      <c r="M13" s="203">
        <v>4610.16</v>
      </c>
      <c r="N13" s="203">
        <v>10063.029999999999</v>
      </c>
      <c r="O13" s="203">
        <v>10063.029999999999</v>
      </c>
      <c r="P13" s="203">
        <v>14673.189999999999</v>
      </c>
      <c r="Q13" s="204">
        <v>9.4194657784191596E-4</v>
      </c>
    </row>
    <row r="14" spans="1:17" x14ac:dyDescent="0.25">
      <c r="A14" s="192" t="s">
        <v>292</v>
      </c>
      <c r="B14" s="119" t="s">
        <v>92</v>
      </c>
      <c r="C14" s="202"/>
      <c r="D14" s="202">
        <v>65</v>
      </c>
      <c r="E14" s="202"/>
      <c r="F14" s="202">
        <v>237</v>
      </c>
      <c r="G14" s="203"/>
      <c r="H14" s="203">
        <v>1270.5005439999998</v>
      </c>
      <c r="I14" s="203"/>
      <c r="J14" s="203"/>
      <c r="K14" s="203">
        <v>6193.6244999999972</v>
      </c>
      <c r="L14" s="203"/>
      <c r="M14" s="203">
        <v>1270.5005439999998</v>
      </c>
      <c r="N14" s="203">
        <v>6193.6244999999972</v>
      </c>
      <c r="O14" s="203">
        <v>4234.3731936595486</v>
      </c>
      <c r="P14" s="203">
        <v>5504.8737376595482</v>
      </c>
      <c r="Q14" s="204">
        <v>3.5338579945057953E-4</v>
      </c>
    </row>
    <row r="15" spans="1:17" x14ac:dyDescent="0.25">
      <c r="A15" s="192" t="s">
        <v>386</v>
      </c>
      <c r="B15" s="119" t="s">
        <v>18</v>
      </c>
      <c r="C15" s="202">
        <v>121</v>
      </c>
      <c r="D15" s="202">
        <v>32</v>
      </c>
      <c r="E15" s="202">
        <v>1161</v>
      </c>
      <c r="F15" s="202">
        <v>155</v>
      </c>
      <c r="G15" s="203">
        <v>7207.9115940000065</v>
      </c>
      <c r="H15" s="203">
        <v>591.25810199999967</v>
      </c>
      <c r="I15" s="203">
        <v>324</v>
      </c>
      <c r="J15" s="203">
        <v>25915.000000000036</v>
      </c>
      <c r="K15" s="203">
        <v>4101.0299999999988</v>
      </c>
      <c r="L15" s="203">
        <v>907.5</v>
      </c>
      <c r="M15" s="203">
        <v>8123.1696960000063</v>
      </c>
      <c r="N15" s="203">
        <v>30923.530000000035</v>
      </c>
      <c r="O15" s="203">
        <v>30923.530000000035</v>
      </c>
      <c r="P15" s="203">
        <v>39046.69969600004</v>
      </c>
      <c r="Q15" s="204">
        <v>2.5066059360417349E-3</v>
      </c>
    </row>
    <row r="16" spans="1:17" x14ac:dyDescent="0.25">
      <c r="A16" s="192" t="s">
        <v>255</v>
      </c>
      <c r="B16" s="119" t="s">
        <v>124</v>
      </c>
      <c r="C16" s="202">
        <v>357</v>
      </c>
      <c r="D16" s="202">
        <v>686</v>
      </c>
      <c r="E16" s="202">
        <v>4480</v>
      </c>
      <c r="F16" s="202">
        <v>2774</v>
      </c>
      <c r="G16" s="203">
        <v>13725.409913999933</v>
      </c>
      <c r="H16" s="203">
        <v>9601.4871489998986</v>
      </c>
      <c r="I16" s="203">
        <v>180</v>
      </c>
      <c r="J16" s="203">
        <v>84571.280000000028</v>
      </c>
      <c r="K16" s="203">
        <v>56391.632999967653</v>
      </c>
      <c r="L16" s="203">
        <v>586.5</v>
      </c>
      <c r="M16" s="203">
        <v>23506.897062999829</v>
      </c>
      <c r="N16" s="203">
        <v>141549.4129999677</v>
      </c>
      <c r="O16" s="203">
        <v>141549.4129999677</v>
      </c>
      <c r="P16" s="203">
        <v>165056.31006296753</v>
      </c>
      <c r="Q16" s="204">
        <v>1.0595802713317724E-2</v>
      </c>
    </row>
    <row r="17" spans="1:17" x14ac:dyDescent="0.25">
      <c r="A17" s="192" t="s">
        <v>228</v>
      </c>
      <c r="B17" s="119" t="s">
        <v>141</v>
      </c>
      <c r="C17" s="202">
        <v>60</v>
      </c>
      <c r="D17" s="202">
        <v>74</v>
      </c>
      <c r="E17" s="202">
        <v>561</v>
      </c>
      <c r="F17" s="202">
        <v>303</v>
      </c>
      <c r="G17" s="203">
        <v>6076.2396959999987</v>
      </c>
      <c r="H17" s="203">
        <v>991.83337699999902</v>
      </c>
      <c r="I17" s="203">
        <v>72</v>
      </c>
      <c r="J17" s="203">
        <v>13665.720000000012</v>
      </c>
      <c r="K17" s="203">
        <v>6837.5339999999924</v>
      </c>
      <c r="L17" s="203">
        <v>159</v>
      </c>
      <c r="M17" s="203">
        <v>7140.0730729999977</v>
      </c>
      <c r="N17" s="203">
        <v>20662.254000000004</v>
      </c>
      <c r="O17" s="203">
        <v>14955.50182438043</v>
      </c>
      <c r="P17" s="203">
        <v>22095.574897380429</v>
      </c>
      <c r="Q17" s="204">
        <v>1.4184271559243248E-3</v>
      </c>
    </row>
    <row r="18" spans="1:17" x14ac:dyDescent="0.25">
      <c r="A18" s="192" t="s">
        <v>327</v>
      </c>
      <c r="B18" s="119" t="s">
        <v>70</v>
      </c>
      <c r="C18" s="202">
        <v>52</v>
      </c>
      <c r="D18" s="202">
        <v>128</v>
      </c>
      <c r="E18" s="202">
        <v>631</v>
      </c>
      <c r="F18" s="202">
        <v>429</v>
      </c>
      <c r="G18" s="203">
        <v>2118.0313979999992</v>
      </c>
      <c r="H18" s="203">
        <v>2150.0108400000036</v>
      </c>
      <c r="I18" s="203">
        <v>36</v>
      </c>
      <c r="J18" s="203">
        <v>14267.649999999992</v>
      </c>
      <c r="K18" s="203">
        <v>8328.4199999999873</v>
      </c>
      <c r="L18" s="203">
        <v>447.5</v>
      </c>
      <c r="M18" s="203">
        <v>4304.0422380000027</v>
      </c>
      <c r="N18" s="203">
        <v>23043.569999999978</v>
      </c>
      <c r="O18" s="203">
        <v>23043.569999999978</v>
      </c>
      <c r="P18" s="203">
        <v>27347.61223799998</v>
      </c>
      <c r="Q18" s="204">
        <v>1.7555821031235734E-3</v>
      </c>
    </row>
    <row r="19" spans="1:17" x14ac:dyDescent="0.25">
      <c r="A19" s="192" t="s">
        <v>326</v>
      </c>
      <c r="B19" s="119" t="s">
        <v>71</v>
      </c>
      <c r="C19" s="202">
        <v>640</v>
      </c>
      <c r="D19" s="202">
        <v>193</v>
      </c>
      <c r="E19" s="202">
        <v>6986</v>
      </c>
      <c r="F19" s="202">
        <v>778</v>
      </c>
      <c r="G19" s="203">
        <v>37158.107562000063</v>
      </c>
      <c r="H19" s="203">
        <v>2577.7893940000035</v>
      </c>
      <c r="I19" s="203">
        <v>1836</v>
      </c>
      <c r="J19" s="203">
        <v>126751.27000000022</v>
      </c>
      <c r="K19" s="203">
        <v>15106.357285638682</v>
      </c>
      <c r="L19" s="203">
        <v>5828.5</v>
      </c>
      <c r="M19" s="203">
        <v>41571.89695600007</v>
      </c>
      <c r="N19" s="203">
        <v>147686.12728563891</v>
      </c>
      <c r="O19" s="203">
        <v>147686.12728563891</v>
      </c>
      <c r="P19" s="203">
        <v>189258.02424163898</v>
      </c>
      <c r="Q19" s="204">
        <v>1.214943364486756E-2</v>
      </c>
    </row>
    <row r="20" spans="1:17" ht="24" x14ac:dyDescent="0.25">
      <c r="A20" s="192" t="s">
        <v>235</v>
      </c>
      <c r="B20" s="119" t="s">
        <v>138</v>
      </c>
      <c r="C20" s="202"/>
      <c r="D20" s="202">
        <v>23</v>
      </c>
      <c r="E20" s="202"/>
      <c r="F20" s="202">
        <v>69</v>
      </c>
      <c r="G20" s="203"/>
      <c r="H20" s="203">
        <v>336.79783200000014</v>
      </c>
      <c r="I20" s="203"/>
      <c r="J20" s="203"/>
      <c r="K20" s="203">
        <v>1240.2720000000006</v>
      </c>
      <c r="L20" s="203"/>
      <c r="M20" s="203">
        <v>336.79783200000014</v>
      </c>
      <c r="N20" s="203">
        <v>1240.2720000000006</v>
      </c>
      <c r="O20" s="203">
        <v>1218.8880000000001</v>
      </c>
      <c r="P20" s="203">
        <v>1555.6858320000003</v>
      </c>
      <c r="Q20" s="204">
        <v>9.986737346477176E-5</v>
      </c>
    </row>
    <row r="21" spans="1:17" x14ac:dyDescent="0.25">
      <c r="A21" s="192" t="s">
        <v>251</v>
      </c>
      <c r="B21" s="119" t="s">
        <v>127</v>
      </c>
      <c r="C21" s="202">
        <v>27</v>
      </c>
      <c r="D21" s="202">
        <v>12</v>
      </c>
      <c r="E21" s="202">
        <v>265</v>
      </c>
      <c r="F21" s="202">
        <v>52</v>
      </c>
      <c r="G21" s="203">
        <v>3090.96</v>
      </c>
      <c r="H21" s="203">
        <v>230.94707999999994</v>
      </c>
      <c r="I21" s="203"/>
      <c r="J21" s="203">
        <v>8858.5999999999985</v>
      </c>
      <c r="K21" s="203">
        <v>1042.4700000000003</v>
      </c>
      <c r="L21" s="203">
        <v>61.5</v>
      </c>
      <c r="M21" s="203">
        <v>3321.90708</v>
      </c>
      <c r="N21" s="203">
        <v>9962.57</v>
      </c>
      <c r="O21" s="203">
        <v>9962.57</v>
      </c>
      <c r="P21" s="203">
        <v>13284.477080000001</v>
      </c>
      <c r="Q21" s="204">
        <v>8.5279804350147249E-4</v>
      </c>
    </row>
    <row r="22" spans="1:17" x14ac:dyDescent="0.25">
      <c r="A22" s="192" t="s">
        <v>355</v>
      </c>
      <c r="B22" s="119" t="s">
        <v>42</v>
      </c>
      <c r="C22" s="202"/>
      <c r="D22" s="202">
        <v>74</v>
      </c>
      <c r="E22" s="202"/>
      <c r="F22" s="202">
        <v>323</v>
      </c>
      <c r="G22" s="203"/>
      <c r="H22" s="203">
        <v>1139.3395200000007</v>
      </c>
      <c r="I22" s="203"/>
      <c r="J22" s="203"/>
      <c r="K22" s="203">
        <v>6237.4454999999989</v>
      </c>
      <c r="L22" s="203"/>
      <c r="M22" s="203">
        <v>1139.3395200000007</v>
      </c>
      <c r="N22" s="203">
        <v>6237.4454999999989</v>
      </c>
      <c r="O22" s="203">
        <v>5132.1599999999917</v>
      </c>
      <c r="P22" s="203">
        <v>6271.4995199999921</v>
      </c>
      <c r="Q22" s="204">
        <v>4.0259940141177292E-4</v>
      </c>
    </row>
    <row r="23" spans="1:17" x14ac:dyDescent="0.25">
      <c r="A23" s="192" t="s">
        <v>246</v>
      </c>
      <c r="B23" s="119" t="s">
        <v>128</v>
      </c>
      <c r="C23" s="202">
        <v>74</v>
      </c>
      <c r="D23" s="202"/>
      <c r="E23" s="202">
        <v>805</v>
      </c>
      <c r="F23" s="202"/>
      <c r="G23" s="203">
        <v>4580.2796760000047</v>
      </c>
      <c r="H23" s="203"/>
      <c r="I23" s="203">
        <v>756</v>
      </c>
      <c r="J23" s="203">
        <v>12525.99000000004</v>
      </c>
      <c r="K23" s="203"/>
      <c r="L23" s="203">
        <v>1999</v>
      </c>
      <c r="M23" s="203">
        <v>5336.2796760000047</v>
      </c>
      <c r="N23" s="203">
        <v>14524.99000000004</v>
      </c>
      <c r="O23" s="203">
        <v>14524.99000000004</v>
      </c>
      <c r="P23" s="203">
        <v>19861.269676000044</v>
      </c>
      <c r="Q23" s="204">
        <v>1.274995757766625E-3</v>
      </c>
    </row>
    <row r="24" spans="1:17" x14ac:dyDescent="0.25">
      <c r="A24" s="192" t="s">
        <v>319</v>
      </c>
      <c r="B24" s="119" t="s">
        <v>75</v>
      </c>
      <c r="C24" s="202">
        <v>19</v>
      </c>
      <c r="D24" s="202">
        <v>59</v>
      </c>
      <c r="E24" s="202">
        <v>234</v>
      </c>
      <c r="F24" s="202">
        <v>219</v>
      </c>
      <c r="G24" s="203">
        <v>2089.2586680000004</v>
      </c>
      <c r="H24" s="203">
        <v>1119.4524690000012</v>
      </c>
      <c r="I24" s="203"/>
      <c r="J24" s="203">
        <v>7274.3700000000044</v>
      </c>
      <c r="K24" s="203">
        <v>4737.0419999999995</v>
      </c>
      <c r="L24" s="203"/>
      <c r="M24" s="203">
        <v>3208.7111370000016</v>
      </c>
      <c r="N24" s="203">
        <v>12011.412000000004</v>
      </c>
      <c r="O24" s="203">
        <v>12011.412000000004</v>
      </c>
      <c r="P24" s="203">
        <v>15220.123137000006</v>
      </c>
      <c r="Q24" s="204">
        <v>9.7705699328024258E-4</v>
      </c>
    </row>
    <row r="25" spans="1:17" x14ac:dyDescent="0.25">
      <c r="A25" s="192" t="s">
        <v>298</v>
      </c>
      <c r="B25" s="119" t="s">
        <v>88</v>
      </c>
      <c r="C25" s="202">
        <v>19</v>
      </c>
      <c r="D25" s="202"/>
      <c r="E25" s="202">
        <v>295</v>
      </c>
      <c r="F25" s="202"/>
      <c r="G25" s="203">
        <v>2003.3977860000005</v>
      </c>
      <c r="H25" s="203"/>
      <c r="I25" s="203"/>
      <c r="J25" s="203">
        <v>6330.0999999999995</v>
      </c>
      <c r="K25" s="203"/>
      <c r="L25" s="203"/>
      <c r="M25" s="203">
        <v>2003.3977860000005</v>
      </c>
      <c r="N25" s="203">
        <v>6330.0999999999995</v>
      </c>
      <c r="O25" s="203">
        <v>6330.0999999999995</v>
      </c>
      <c r="P25" s="203">
        <v>8333.4977859999999</v>
      </c>
      <c r="Q25" s="204">
        <v>5.3496954111381949E-4</v>
      </c>
    </row>
    <row r="26" spans="1:17" x14ac:dyDescent="0.25">
      <c r="A26" s="192" t="s">
        <v>305</v>
      </c>
      <c r="B26" s="119" t="s">
        <v>86</v>
      </c>
      <c r="C26" s="202">
        <v>57</v>
      </c>
      <c r="D26" s="202">
        <v>73</v>
      </c>
      <c r="E26" s="202">
        <v>520</v>
      </c>
      <c r="F26" s="202">
        <v>269</v>
      </c>
      <c r="G26" s="203">
        <v>3537.5751540000015</v>
      </c>
      <c r="H26" s="203">
        <v>978.16427999999894</v>
      </c>
      <c r="I26" s="203">
        <v>396</v>
      </c>
      <c r="J26" s="203">
        <v>10041.809999999987</v>
      </c>
      <c r="K26" s="203">
        <v>5335.2674999999936</v>
      </c>
      <c r="L26" s="203">
        <v>1065.5</v>
      </c>
      <c r="M26" s="203">
        <v>4911.7394340000001</v>
      </c>
      <c r="N26" s="203">
        <v>16442.577499999981</v>
      </c>
      <c r="O26" s="203">
        <v>16442.577499999981</v>
      </c>
      <c r="P26" s="203">
        <v>21354.31693399998</v>
      </c>
      <c r="Q26" s="204">
        <v>1.3708420430821764E-3</v>
      </c>
    </row>
    <row r="27" spans="1:17" x14ac:dyDescent="0.25">
      <c r="A27" s="192" t="s">
        <v>282</v>
      </c>
      <c r="B27" s="119" t="s">
        <v>103</v>
      </c>
      <c r="C27" s="202">
        <v>53</v>
      </c>
      <c r="D27" s="202">
        <v>5</v>
      </c>
      <c r="E27" s="202">
        <v>526</v>
      </c>
      <c r="F27" s="202">
        <v>17</v>
      </c>
      <c r="G27" s="203">
        <v>2641.4985239999996</v>
      </c>
      <c r="H27" s="203">
        <v>36.838800000000006</v>
      </c>
      <c r="I27" s="203">
        <v>216</v>
      </c>
      <c r="J27" s="203">
        <v>6469.9500000000025</v>
      </c>
      <c r="K27" s="203">
        <v>360.82799999999997</v>
      </c>
      <c r="L27" s="203">
        <v>666.25</v>
      </c>
      <c r="M27" s="203">
        <v>2894.3373239999996</v>
      </c>
      <c r="N27" s="203">
        <v>7497.0280000000021</v>
      </c>
      <c r="O27" s="203">
        <v>7497.0280000000021</v>
      </c>
      <c r="P27" s="203">
        <v>10391.365324000002</v>
      </c>
      <c r="Q27" s="204">
        <v>6.6707450840934764E-4</v>
      </c>
    </row>
    <row r="28" spans="1:17" x14ac:dyDescent="0.25">
      <c r="A28" s="192" t="s">
        <v>289</v>
      </c>
      <c r="B28" s="119" t="s">
        <v>95</v>
      </c>
      <c r="C28" s="202">
        <v>23</v>
      </c>
      <c r="D28" s="202">
        <v>5</v>
      </c>
      <c r="E28" s="202">
        <v>197</v>
      </c>
      <c r="F28" s="202">
        <v>20</v>
      </c>
      <c r="G28" s="203">
        <v>1229.5783979999999</v>
      </c>
      <c r="H28" s="203">
        <v>109.974705</v>
      </c>
      <c r="I28" s="203">
        <v>108</v>
      </c>
      <c r="J28" s="203">
        <v>3110.0799999999986</v>
      </c>
      <c r="K28" s="203">
        <v>400.95000000000005</v>
      </c>
      <c r="L28" s="203">
        <v>200.5</v>
      </c>
      <c r="M28" s="203">
        <v>1447.553103</v>
      </c>
      <c r="N28" s="203">
        <v>3711.5299999999988</v>
      </c>
      <c r="O28" s="203">
        <v>3711.5299999999988</v>
      </c>
      <c r="P28" s="203">
        <v>5159.083102999999</v>
      </c>
      <c r="Q28" s="204">
        <v>3.3118774265670261E-4</v>
      </c>
    </row>
    <row r="29" spans="1:17" x14ac:dyDescent="0.25">
      <c r="A29" s="192" t="s">
        <v>279</v>
      </c>
      <c r="B29" s="119" t="s">
        <v>107</v>
      </c>
      <c r="C29" s="202"/>
      <c r="D29" s="202">
        <v>37</v>
      </c>
      <c r="E29" s="202"/>
      <c r="F29" s="202">
        <v>144</v>
      </c>
      <c r="G29" s="203"/>
      <c r="H29" s="203">
        <v>442.64813199999975</v>
      </c>
      <c r="I29" s="203">
        <v>144</v>
      </c>
      <c r="J29" s="203"/>
      <c r="K29" s="203">
        <v>2785.2659999999992</v>
      </c>
      <c r="L29" s="203">
        <v>206.25</v>
      </c>
      <c r="M29" s="203">
        <v>586.6481319999998</v>
      </c>
      <c r="N29" s="203">
        <v>2991.5159999999992</v>
      </c>
      <c r="O29" s="203">
        <v>2618.2942341650687</v>
      </c>
      <c r="P29" s="203">
        <v>3204.9423661650685</v>
      </c>
      <c r="Q29" s="204">
        <v>2.0574152546172709E-4</v>
      </c>
    </row>
    <row r="30" spans="1:17" x14ac:dyDescent="0.25">
      <c r="A30" s="192" t="s">
        <v>361</v>
      </c>
      <c r="B30" s="119" t="s">
        <v>76</v>
      </c>
      <c r="C30" s="202"/>
      <c r="D30" s="202">
        <v>33</v>
      </c>
      <c r="E30" s="202"/>
      <c r="F30" s="202">
        <v>146</v>
      </c>
      <c r="G30" s="203"/>
      <c r="H30" s="203">
        <v>837.18237099999965</v>
      </c>
      <c r="I30" s="203"/>
      <c r="J30" s="203"/>
      <c r="K30" s="203">
        <v>2586.1275000000014</v>
      </c>
      <c r="L30" s="203">
        <v>20</v>
      </c>
      <c r="M30" s="203">
        <v>837.18237099999965</v>
      </c>
      <c r="N30" s="203">
        <v>2606.1275000000014</v>
      </c>
      <c r="O30" s="203">
        <v>2391.9805891472861</v>
      </c>
      <c r="P30" s="203">
        <v>3229.162960147286</v>
      </c>
      <c r="Q30" s="204">
        <v>2.0729636838373984E-4</v>
      </c>
    </row>
    <row r="31" spans="1:17" x14ac:dyDescent="0.25">
      <c r="A31" s="192" t="s">
        <v>362</v>
      </c>
      <c r="B31" s="119" t="s">
        <v>33</v>
      </c>
      <c r="C31" s="202">
        <v>23</v>
      </c>
      <c r="D31" s="202"/>
      <c r="E31" s="202">
        <v>352</v>
      </c>
      <c r="F31" s="202"/>
      <c r="G31" s="203">
        <v>2547.1775879999991</v>
      </c>
      <c r="H31" s="203"/>
      <c r="I31" s="203">
        <v>36</v>
      </c>
      <c r="J31" s="203">
        <v>9203.6400000000049</v>
      </c>
      <c r="K31" s="203"/>
      <c r="L31" s="203">
        <v>91</v>
      </c>
      <c r="M31" s="203">
        <v>2583.1775879999991</v>
      </c>
      <c r="N31" s="203">
        <v>9294.6400000000049</v>
      </c>
      <c r="O31" s="203">
        <v>9294.6400000000049</v>
      </c>
      <c r="P31" s="203">
        <v>11877.817588000004</v>
      </c>
      <c r="Q31" s="204">
        <v>7.6249742757008708E-4</v>
      </c>
    </row>
    <row r="32" spans="1:17" x14ac:dyDescent="0.25">
      <c r="A32" s="192" t="s">
        <v>366</v>
      </c>
      <c r="B32" s="119" t="s">
        <v>32</v>
      </c>
      <c r="C32" s="202">
        <v>2405</v>
      </c>
      <c r="D32" s="202">
        <v>982</v>
      </c>
      <c r="E32" s="202">
        <v>25675</v>
      </c>
      <c r="F32" s="202">
        <v>3176</v>
      </c>
      <c r="G32" s="203">
        <v>144951.02143199553</v>
      </c>
      <c r="H32" s="203">
        <v>15170.320649999856</v>
      </c>
      <c r="I32" s="203">
        <v>6948</v>
      </c>
      <c r="J32" s="203">
        <v>482263.38999999873</v>
      </c>
      <c r="K32" s="203">
        <v>75319.746749984071</v>
      </c>
      <c r="L32" s="203">
        <v>24064.5</v>
      </c>
      <c r="M32" s="203">
        <v>167069.34208199539</v>
      </c>
      <c r="N32" s="203">
        <v>581647.63674998283</v>
      </c>
      <c r="O32" s="203">
        <v>581647.63674998283</v>
      </c>
      <c r="P32" s="203">
        <v>748716.97883197828</v>
      </c>
      <c r="Q32" s="204">
        <v>4.8063944921514702E-2</v>
      </c>
    </row>
    <row r="33" spans="1:17" x14ac:dyDescent="0.25">
      <c r="A33" s="192" t="s">
        <v>358</v>
      </c>
      <c r="B33" s="119" t="s">
        <v>39</v>
      </c>
      <c r="C33" s="202">
        <v>116</v>
      </c>
      <c r="D33" s="202">
        <v>65</v>
      </c>
      <c r="E33" s="202">
        <v>1618</v>
      </c>
      <c r="F33" s="202">
        <v>264</v>
      </c>
      <c r="G33" s="203">
        <v>7838.2730339999907</v>
      </c>
      <c r="H33" s="203">
        <v>1783.7792699999984</v>
      </c>
      <c r="I33" s="203">
        <v>27576.000000000036</v>
      </c>
      <c r="J33" s="203">
        <v>25678.949999999921</v>
      </c>
      <c r="K33" s="203">
        <v>4892.926499999995</v>
      </c>
      <c r="L33" s="203">
        <v>85704.100000000035</v>
      </c>
      <c r="M33" s="203">
        <v>37198.052304000026</v>
      </c>
      <c r="N33" s="203">
        <v>116275.97649999995</v>
      </c>
      <c r="O33" s="203">
        <v>116275.97649999995</v>
      </c>
      <c r="P33" s="203">
        <v>153474.02880399997</v>
      </c>
      <c r="Q33" s="204">
        <v>9.8522772634675512E-3</v>
      </c>
    </row>
    <row r="34" spans="1:17" x14ac:dyDescent="0.25">
      <c r="A34" s="192" t="s">
        <v>364</v>
      </c>
      <c r="B34" s="119" t="s">
        <v>35</v>
      </c>
      <c r="C34" s="202">
        <v>314</v>
      </c>
      <c r="D34" s="202">
        <v>87</v>
      </c>
      <c r="E34" s="202">
        <v>3588</v>
      </c>
      <c r="F34" s="202">
        <v>360</v>
      </c>
      <c r="G34" s="203">
        <v>22161.755322000019</v>
      </c>
      <c r="H34" s="203">
        <v>1367.5145759999998</v>
      </c>
      <c r="I34" s="203">
        <v>72831.600000000064</v>
      </c>
      <c r="J34" s="203">
        <v>55732.769999999873</v>
      </c>
      <c r="K34" s="203">
        <v>6639.408000000004</v>
      </c>
      <c r="L34" s="203">
        <v>185555.7</v>
      </c>
      <c r="M34" s="203">
        <v>96360.869898000092</v>
      </c>
      <c r="N34" s="203">
        <v>247927.87799999988</v>
      </c>
      <c r="O34" s="203">
        <v>247927.87799999988</v>
      </c>
      <c r="P34" s="203">
        <v>344288.74789799994</v>
      </c>
      <c r="Q34" s="204">
        <v>2.2101643055940749E-2</v>
      </c>
    </row>
    <row r="35" spans="1:17" x14ac:dyDescent="0.25">
      <c r="A35" s="192" t="s">
        <v>306</v>
      </c>
      <c r="B35" s="119" t="s">
        <v>529</v>
      </c>
      <c r="C35" s="202">
        <v>324</v>
      </c>
      <c r="D35" s="202">
        <v>1074</v>
      </c>
      <c r="E35" s="202">
        <v>2334</v>
      </c>
      <c r="F35" s="202">
        <v>3017</v>
      </c>
      <c r="G35" s="203">
        <v>6924.8694960000084</v>
      </c>
      <c r="H35" s="203">
        <v>11370.871202999962</v>
      </c>
      <c r="I35" s="203">
        <v>144</v>
      </c>
      <c r="J35" s="203">
        <v>16569</v>
      </c>
      <c r="K35" s="203">
        <v>77545.664742762892</v>
      </c>
      <c r="L35" s="203">
        <v>225</v>
      </c>
      <c r="M35" s="203">
        <v>18439.740698999973</v>
      </c>
      <c r="N35" s="203">
        <v>94339.664742762892</v>
      </c>
      <c r="O35" s="203">
        <v>85467.849570880251</v>
      </c>
      <c r="P35" s="203">
        <v>103907.59026988022</v>
      </c>
      <c r="Q35" s="204">
        <v>6.6703558712531939E-3</v>
      </c>
    </row>
    <row r="36" spans="1:17" x14ac:dyDescent="0.25">
      <c r="A36" s="192" t="s">
        <v>240</v>
      </c>
      <c r="B36" s="119" t="s">
        <v>135</v>
      </c>
      <c r="C36" s="202">
        <v>304</v>
      </c>
      <c r="D36" s="202">
        <v>307</v>
      </c>
      <c r="E36" s="202">
        <v>3946</v>
      </c>
      <c r="F36" s="202">
        <v>1487</v>
      </c>
      <c r="G36" s="203">
        <v>20355.207407999969</v>
      </c>
      <c r="H36" s="203">
        <v>5411.7792829999689</v>
      </c>
      <c r="I36" s="203">
        <v>144</v>
      </c>
      <c r="J36" s="203">
        <v>112049.13000000027</v>
      </c>
      <c r="K36" s="203">
        <v>33440.347799999894</v>
      </c>
      <c r="L36" s="203">
        <v>326.5</v>
      </c>
      <c r="M36" s="203">
        <v>25910.98669099994</v>
      </c>
      <c r="N36" s="203">
        <v>145815.97780000017</v>
      </c>
      <c r="O36" s="203">
        <v>145815.97780000017</v>
      </c>
      <c r="P36" s="203">
        <v>171726.96449100011</v>
      </c>
      <c r="Q36" s="204">
        <v>1.1024025895219634E-2</v>
      </c>
    </row>
    <row r="37" spans="1:17" x14ac:dyDescent="0.25">
      <c r="A37" s="192" t="s">
        <v>261</v>
      </c>
      <c r="B37" s="119" t="s">
        <v>118</v>
      </c>
      <c r="C37" s="202">
        <v>49</v>
      </c>
      <c r="D37" s="202">
        <v>116</v>
      </c>
      <c r="E37" s="202">
        <v>511</v>
      </c>
      <c r="F37" s="202">
        <v>487</v>
      </c>
      <c r="G37" s="203">
        <v>5266.0776779999978</v>
      </c>
      <c r="H37" s="203">
        <v>1736.3786100000027</v>
      </c>
      <c r="I37" s="203"/>
      <c r="J37" s="203">
        <v>14363.139999999996</v>
      </c>
      <c r="K37" s="203">
        <v>9359.2665000000034</v>
      </c>
      <c r="L37" s="203">
        <v>7.5</v>
      </c>
      <c r="M37" s="203">
        <v>7002.4562880000003</v>
      </c>
      <c r="N37" s="203">
        <v>23729.906499999997</v>
      </c>
      <c r="O37" s="203">
        <v>23729.906499999997</v>
      </c>
      <c r="P37" s="203">
        <v>30732.362787999999</v>
      </c>
      <c r="Q37" s="204">
        <v>1.9728664289873467E-3</v>
      </c>
    </row>
    <row r="38" spans="1:17" x14ac:dyDescent="0.25">
      <c r="A38" s="192" t="s">
        <v>310</v>
      </c>
      <c r="B38" s="119" t="s">
        <v>81</v>
      </c>
      <c r="C38" s="202">
        <v>769</v>
      </c>
      <c r="D38" s="202">
        <v>315</v>
      </c>
      <c r="E38" s="202">
        <v>7358</v>
      </c>
      <c r="F38" s="202">
        <v>1727</v>
      </c>
      <c r="G38" s="203">
        <v>44948.12857200046</v>
      </c>
      <c r="H38" s="203">
        <v>5157.8204860000187</v>
      </c>
      <c r="I38" s="203">
        <v>5364</v>
      </c>
      <c r="J38" s="203">
        <v>132728.58999999985</v>
      </c>
      <c r="K38" s="203">
        <v>37555.703999999998</v>
      </c>
      <c r="L38" s="203">
        <v>13519.75</v>
      </c>
      <c r="M38" s="203">
        <v>55469.949058000479</v>
      </c>
      <c r="N38" s="203">
        <v>183804.04399999985</v>
      </c>
      <c r="O38" s="203">
        <v>183804.04399999985</v>
      </c>
      <c r="P38" s="203">
        <v>239273.99305800034</v>
      </c>
      <c r="Q38" s="204">
        <v>1.5360212668653088E-2</v>
      </c>
    </row>
    <row r="39" spans="1:17" x14ac:dyDescent="0.25">
      <c r="A39" s="192" t="s">
        <v>374</v>
      </c>
      <c r="B39" s="119" t="s">
        <v>28</v>
      </c>
      <c r="C39" s="202"/>
      <c r="D39" s="202">
        <v>26</v>
      </c>
      <c r="E39" s="202"/>
      <c r="F39" s="202">
        <v>115</v>
      </c>
      <c r="G39" s="203"/>
      <c r="H39" s="203">
        <v>423.40268300000014</v>
      </c>
      <c r="I39" s="203"/>
      <c r="J39" s="203"/>
      <c r="K39" s="203">
        <v>1975.3470000000007</v>
      </c>
      <c r="L39" s="203"/>
      <c r="M39" s="203">
        <v>423.40268300000014</v>
      </c>
      <c r="N39" s="203">
        <v>1975.3470000000007</v>
      </c>
      <c r="O39" s="203">
        <v>1975.3470000000007</v>
      </c>
      <c r="P39" s="203">
        <v>2398.7496830000009</v>
      </c>
      <c r="Q39" s="204">
        <v>1.5398792321241883E-4</v>
      </c>
    </row>
    <row r="40" spans="1:17" x14ac:dyDescent="0.25">
      <c r="A40" s="192" t="s">
        <v>270</v>
      </c>
      <c r="B40" s="119" t="s">
        <v>112</v>
      </c>
      <c r="C40" s="202">
        <v>573</v>
      </c>
      <c r="D40" s="202">
        <v>198</v>
      </c>
      <c r="E40" s="202">
        <v>6336</v>
      </c>
      <c r="F40" s="202">
        <v>953</v>
      </c>
      <c r="G40" s="203">
        <v>33283.717325999714</v>
      </c>
      <c r="H40" s="203">
        <v>3024.161831999998</v>
      </c>
      <c r="I40" s="203">
        <v>3672</v>
      </c>
      <c r="J40" s="203">
        <v>126217.50999999991</v>
      </c>
      <c r="K40" s="203">
        <v>19730.951999999979</v>
      </c>
      <c r="L40" s="203">
        <v>8449</v>
      </c>
      <c r="M40" s="203">
        <v>39979.879157999712</v>
      </c>
      <c r="N40" s="203">
        <v>154397.46199999988</v>
      </c>
      <c r="O40" s="203">
        <v>154397.46199999988</v>
      </c>
      <c r="P40" s="203">
        <v>194377.34115799959</v>
      </c>
      <c r="Q40" s="204">
        <v>1.2478068594067707E-2</v>
      </c>
    </row>
    <row r="41" spans="1:17" x14ac:dyDescent="0.25">
      <c r="A41" s="192" t="s">
        <v>311</v>
      </c>
      <c r="B41" s="119" t="s">
        <v>80</v>
      </c>
      <c r="C41" s="202">
        <v>514</v>
      </c>
      <c r="D41" s="202">
        <v>224</v>
      </c>
      <c r="E41" s="202">
        <v>4691</v>
      </c>
      <c r="F41" s="202">
        <v>616</v>
      </c>
      <c r="G41" s="203">
        <v>29659.922855999685</v>
      </c>
      <c r="H41" s="203">
        <v>2424.7142109999977</v>
      </c>
      <c r="I41" s="203">
        <v>3600</v>
      </c>
      <c r="J41" s="203">
        <v>91799.07</v>
      </c>
      <c r="K41" s="203">
        <v>14326.038000000015</v>
      </c>
      <c r="L41" s="203">
        <v>9120</v>
      </c>
      <c r="M41" s="203">
        <v>35684.637066999683</v>
      </c>
      <c r="N41" s="203">
        <v>115245.10800000002</v>
      </c>
      <c r="O41" s="203">
        <v>115245.10800000002</v>
      </c>
      <c r="P41" s="203">
        <v>150929.74506699969</v>
      </c>
      <c r="Q41" s="204">
        <v>9.6889467702942021E-3</v>
      </c>
    </row>
    <row r="42" spans="1:17" x14ac:dyDescent="0.25">
      <c r="A42" s="192" t="s">
        <v>281</v>
      </c>
      <c r="B42" s="119" t="s">
        <v>104</v>
      </c>
      <c r="C42" s="202">
        <v>540</v>
      </c>
      <c r="D42" s="202">
        <v>250</v>
      </c>
      <c r="E42" s="202">
        <v>5700</v>
      </c>
      <c r="F42" s="202">
        <v>948</v>
      </c>
      <c r="G42" s="203">
        <v>30270.7106639997</v>
      </c>
      <c r="H42" s="203">
        <v>2954.3873039999894</v>
      </c>
      <c r="I42" s="203">
        <v>1296</v>
      </c>
      <c r="J42" s="203">
        <v>101255.18999999986</v>
      </c>
      <c r="K42" s="203">
        <v>20872.012500000015</v>
      </c>
      <c r="L42" s="203">
        <v>3555.5</v>
      </c>
      <c r="M42" s="203">
        <v>34521.097967999689</v>
      </c>
      <c r="N42" s="203">
        <v>125682.70249999987</v>
      </c>
      <c r="O42" s="203">
        <v>125682.70249999987</v>
      </c>
      <c r="P42" s="203">
        <v>160203.80046799956</v>
      </c>
      <c r="Q42" s="204">
        <v>1.0284295480948679E-2</v>
      </c>
    </row>
    <row r="43" spans="1:17" x14ac:dyDescent="0.25">
      <c r="A43" s="192" t="s">
        <v>242</v>
      </c>
      <c r="B43" s="119" t="s">
        <v>132</v>
      </c>
      <c r="C43" s="202">
        <v>1400</v>
      </c>
      <c r="D43" s="202">
        <v>496</v>
      </c>
      <c r="E43" s="202">
        <v>18071</v>
      </c>
      <c r="F43" s="202">
        <v>1773</v>
      </c>
      <c r="G43" s="203">
        <v>85149.977615999582</v>
      </c>
      <c r="H43" s="203">
        <v>5799.9449020000029</v>
      </c>
      <c r="I43" s="203">
        <v>3924</v>
      </c>
      <c r="J43" s="203">
        <v>294285.91999999876</v>
      </c>
      <c r="K43" s="203">
        <v>40814.066699984083</v>
      </c>
      <c r="L43" s="203">
        <v>13916.5</v>
      </c>
      <c r="M43" s="203">
        <v>94873.922517999585</v>
      </c>
      <c r="N43" s="203">
        <v>349016.48669998284</v>
      </c>
      <c r="O43" s="203">
        <v>349016.48669998284</v>
      </c>
      <c r="P43" s="203">
        <v>443890.40921798244</v>
      </c>
      <c r="Q43" s="204">
        <v>2.8495579482016267E-2</v>
      </c>
    </row>
    <row r="44" spans="1:17" x14ac:dyDescent="0.25">
      <c r="A44" s="192" t="s">
        <v>271</v>
      </c>
      <c r="B44" s="119" t="s">
        <v>111</v>
      </c>
      <c r="C44" s="202">
        <v>1042</v>
      </c>
      <c r="D44" s="202">
        <v>573</v>
      </c>
      <c r="E44" s="202">
        <v>10727</v>
      </c>
      <c r="F44" s="202">
        <v>1962</v>
      </c>
      <c r="G44" s="203">
        <v>56261.549465999567</v>
      </c>
      <c r="H44" s="203">
        <v>5926.5106419999966</v>
      </c>
      <c r="I44" s="203">
        <v>3852</v>
      </c>
      <c r="J44" s="203">
        <v>189150.56999999878</v>
      </c>
      <c r="K44" s="203">
        <v>45214.902000000082</v>
      </c>
      <c r="L44" s="203">
        <v>9664</v>
      </c>
      <c r="M44" s="203">
        <v>66040.060107999569</v>
      </c>
      <c r="N44" s="203">
        <v>244029.47199999887</v>
      </c>
      <c r="O44" s="203">
        <v>244029.47199999887</v>
      </c>
      <c r="P44" s="203">
        <v>310069.53210799844</v>
      </c>
      <c r="Q44" s="204">
        <v>1.9904937826210473E-2</v>
      </c>
    </row>
    <row r="45" spans="1:17" x14ac:dyDescent="0.25">
      <c r="A45" s="192" t="s">
        <v>328</v>
      </c>
      <c r="B45" s="119" t="s">
        <v>69</v>
      </c>
      <c r="C45" s="202">
        <v>641</v>
      </c>
      <c r="D45" s="202">
        <v>162</v>
      </c>
      <c r="E45" s="202">
        <v>6572</v>
      </c>
      <c r="F45" s="202">
        <v>668</v>
      </c>
      <c r="G45" s="203">
        <v>39021.6001499997</v>
      </c>
      <c r="H45" s="203">
        <v>2348.1737009999983</v>
      </c>
      <c r="I45" s="203">
        <v>2844</v>
      </c>
      <c r="J45" s="203">
        <v>116071.17999999998</v>
      </c>
      <c r="K45" s="203">
        <v>13998.147299983963</v>
      </c>
      <c r="L45" s="203">
        <v>7099.25</v>
      </c>
      <c r="M45" s="203">
        <v>44213.7738509997</v>
      </c>
      <c r="N45" s="203">
        <v>137168.57729998394</v>
      </c>
      <c r="O45" s="203">
        <v>137168.57729998394</v>
      </c>
      <c r="P45" s="203">
        <v>181382.35115098365</v>
      </c>
      <c r="Q45" s="204">
        <v>1.1643854195821753E-2</v>
      </c>
    </row>
    <row r="46" spans="1:17" x14ac:dyDescent="0.25">
      <c r="A46" s="192" t="s">
        <v>253</v>
      </c>
      <c r="B46" s="119" t="s">
        <v>126</v>
      </c>
      <c r="C46" s="202">
        <v>29</v>
      </c>
      <c r="D46" s="202"/>
      <c r="E46" s="202">
        <v>209</v>
      </c>
      <c r="F46" s="202"/>
      <c r="G46" s="203">
        <v>2854.9782180000007</v>
      </c>
      <c r="H46" s="203"/>
      <c r="I46" s="203"/>
      <c r="J46" s="203">
        <v>5951.5099999999966</v>
      </c>
      <c r="K46" s="203"/>
      <c r="L46" s="203"/>
      <c r="M46" s="203">
        <v>2854.9782180000007</v>
      </c>
      <c r="N46" s="203">
        <v>5951.5099999999966</v>
      </c>
      <c r="O46" s="203">
        <v>5951.5099999999966</v>
      </c>
      <c r="P46" s="203">
        <v>8806.4882179999968</v>
      </c>
      <c r="Q46" s="204">
        <v>5.653331988306735E-4</v>
      </c>
    </row>
    <row r="47" spans="1:17" x14ac:dyDescent="0.25">
      <c r="A47" s="192" t="s">
        <v>236</v>
      </c>
      <c r="B47" s="119" t="s">
        <v>137</v>
      </c>
      <c r="C47" s="202">
        <v>302</v>
      </c>
      <c r="D47" s="202">
        <v>51</v>
      </c>
      <c r="E47" s="202">
        <v>2868</v>
      </c>
      <c r="F47" s="202">
        <v>195</v>
      </c>
      <c r="G47" s="203">
        <v>15977.596140000111</v>
      </c>
      <c r="H47" s="203">
        <v>615.4686999999999</v>
      </c>
      <c r="I47" s="203">
        <v>1404</v>
      </c>
      <c r="J47" s="203">
        <v>47753.540000000103</v>
      </c>
      <c r="K47" s="203">
        <v>4093.7616000000025</v>
      </c>
      <c r="L47" s="203">
        <v>3161</v>
      </c>
      <c r="M47" s="203">
        <v>17997.064840000112</v>
      </c>
      <c r="N47" s="203">
        <v>55008.301600000108</v>
      </c>
      <c r="O47" s="203">
        <v>55008.301600000108</v>
      </c>
      <c r="P47" s="203">
        <v>73005.366440000216</v>
      </c>
      <c r="Q47" s="204">
        <v>4.6865851994183456E-3</v>
      </c>
    </row>
    <row r="48" spans="1:17" x14ac:dyDescent="0.25">
      <c r="A48" s="192" t="s">
        <v>262</v>
      </c>
      <c r="B48" s="119" t="s">
        <v>117</v>
      </c>
      <c r="C48" s="202">
        <v>34</v>
      </c>
      <c r="D48" s="202"/>
      <c r="E48" s="202">
        <v>366</v>
      </c>
      <c r="F48" s="202"/>
      <c r="G48" s="203">
        <v>1677.8203739999985</v>
      </c>
      <c r="H48" s="203"/>
      <c r="I48" s="203">
        <v>288</v>
      </c>
      <c r="J48" s="203">
        <v>7485.7000000000007</v>
      </c>
      <c r="K48" s="203"/>
      <c r="L48" s="203">
        <v>1055</v>
      </c>
      <c r="M48" s="203">
        <v>1965.8203739999985</v>
      </c>
      <c r="N48" s="203">
        <v>8540.7000000000007</v>
      </c>
      <c r="O48" s="203">
        <v>8540.7000000000007</v>
      </c>
      <c r="P48" s="203">
        <v>10506.520374</v>
      </c>
      <c r="Q48" s="204">
        <v>6.7446689583626105E-4</v>
      </c>
    </row>
    <row r="49" spans="1:17" x14ac:dyDescent="0.25">
      <c r="A49" s="192" t="s">
        <v>357</v>
      </c>
      <c r="B49" s="119" t="s">
        <v>40</v>
      </c>
      <c r="C49" s="202">
        <v>17</v>
      </c>
      <c r="D49" s="202">
        <v>11</v>
      </c>
      <c r="E49" s="202">
        <v>200</v>
      </c>
      <c r="F49" s="202">
        <v>62</v>
      </c>
      <c r="G49" s="203">
        <v>1211.7599999999998</v>
      </c>
      <c r="H49" s="203">
        <v>134.71909000000002</v>
      </c>
      <c r="I49" s="203">
        <v>72</v>
      </c>
      <c r="J49" s="203">
        <v>2545.4300000000007</v>
      </c>
      <c r="K49" s="203">
        <v>1140.0345000000002</v>
      </c>
      <c r="L49" s="203">
        <v>180</v>
      </c>
      <c r="M49" s="203">
        <v>1418.4790899999998</v>
      </c>
      <c r="N49" s="203">
        <v>3865.464500000001</v>
      </c>
      <c r="O49" s="203">
        <v>3865.464500000001</v>
      </c>
      <c r="P49" s="203">
        <v>5283.9435900000008</v>
      </c>
      <c r="Q49" s="204">
        <v>3.3920317136970418E-4</v>
      </c>
    </row>
    <row r="50" spans="1:17" x14ac:dyDescent="0.25">
      <c r="A50" s="192" t="s">
        <v>356</v>
      </c>
      <c r="B50" s="119" t="s">
        <v>41</v>
      </c>
      <c r="C50" s="202">
        <v>346</v>
      </c>
      <c r="D50" s="202">
        <v>749</v>
      </c>
      <c r="E50" s="202">
        <v>3079</v>
      </c>
      <c r="F50" s="202">
        <v>3181</v>
      </c>
      <c r="G50" s="203">
        <v>18696.205169999968</v>
      </c>
      <c r="H50" s="203">
        <v>14035.24372300002</v>
      </c>
      <c r="I50" s="203">
        <v>1152</v>
      </c>
      <c r="J50" s="203">
        <v>63558.11</v>
      </c>
      <c r="K50" s="203">
        <v>66523.075200000196</v>
      </c>
      <c r="L50" s="203">
        <v>3480</v>
      </c>
      <c r="M50" s="203">
        <v>33883.448892999986</v>
      </c>
      <c r="N50" s="203">
        <v>133561.18520000018</v>
      </c>
      <c r="O50" s="203">
        <v>127165.89043337476</v>
      </c>
      <c r="P50" s="203">
        <v>161049.33932637476</v>
      </c>
      <c r="Q50" s="204">
        <v>1.0338574913988043E-2</v>
      </c>
    </row>
    <row r="51" spans="1:17" x14ac:dyDescent="0.25">
      <c r="A51" s="192" t="s">
        <v>334</v>
      </c>
      <c r="B51" s="119" t="s">
        <v>65</v>
      </c>
      <c r="C51" s="202"/>
      <c r="D51" s="202">
        <v>7</v>
      </c>
      <c r="E51" s="202">
        <v>80</v>
      </c>
      <c r="F51" s="202">
        <v>28</v>
      </c>
      <c r="G51" s="203"/>
      <c r="H51" s="203">
        <v>117.8793</v>
      </c>
      <c r="I51" s="203"/>
      <c r="J51" s="203">
        <v>2375.9999999999986</v>
      </c>
      <c r="K51" s="203">
        <v>489.15900000000005</v>
      </c>
      <c r="L51" s="203"/>
      <c r="M51" s="203">
        <v>117.8793</v>
      </c>
      <c r="N51" s="203">
        <v>2865.1589999999987</v>
      </c>
      <c r="O51" s="203">
        <v>2074.3232579185515</v>
      </c>
      <c r="P51" s="203">
        <v>2192.2025579185515</v>
      </c>
      <c r="Q51" s="204">
        <v>1.4072861438907793E-4</v>
      </c>
    </row>
    <row r="52" spans="1:17" x14ac:dyDescent="0.25">
      <c r="A52" s="192" t="s">
        <v>321</v>
      </c>
      <c r="B52" s="119" t="s">
        <v>73</v>
      </c>
      <c r="C52" s="202">
        <v>22</v>
      </c>
      <c r="D52" s="202"/>
      <c r="E52" s="202">
        <v>226</v>
      </c>
      <c r="F52" s="202"/>
      <c r="G52" s="203">
        <v>2089.2588480000004</v>
      </c>
      <c r="H52" s="203"/>
      <c r="I52" s="203"/>
      <c r="J52" s="203">
        <v>5295.75</v>
      </c>
      <c r="K52" s="203"/>
      <c r="L52" s="203"/>
      <c r="M52" s="203">
        <v>2089.2588480000004</v>
      </c>
      <c r="N52" s="203">
        <v>5295.75</v>
      </c>
      <c r="O52" s="203">
        <v>5295.75</v>
      </c>
      <c r="P52" s="203">
        <v>7385.0088480000004</v>
      </c>
      <c r="Q52" s="204">
        <v>4.7408121967383175E-4</v>
      </c>
    </row>
    <row r="53" spans="1:17" x14ac:dyDescent="0.25">
      <c r="A53" s="192" t="s">
        <v>320</v>
      </c>
      <c r="B53" s="119" t="s">
        <v>74</v>
      </c>
      <c r="C53" s="202">
        <v>35</v>
      </c>
      <c r="D53" s="202">
        <v>5</v>
      </c>
      <c r="E53" s="202">
        <v>299</v>
      </c>
      <c r="F53" s="202">
        <v>31</v>
      </c>
      <c r="G53" s="203">
        <v>2227.4985600000009</v>
      </c>
      <c r="H53" s="203">
        <v>76.982399999999998</v>
      </c>
      <c r="I53" s="203">
        <v>144</v>
      </c>
      <c r="J53" s="203">
        <v>4520.5500000000047</v>
      </c>
      <c r="K53" s="203">
        <v>486.48599999999999</v>
      </c>
      <c r="L53" s="203">
        <v>408.5</v>
      </c>
      <c r="M53" s="203">
        <v>2448.4809600000008</v>
      </c>
      <c r="N53" s="203">
        <v>5415.5360000000046</v>
      </c>
      <c r="O53" s="203">
        <v>5415.5360000000046</v>
      </c>
      <c r="P53" s="203">
        <v>7864.0169600000054</v>
      </c>
      <c r="Q53" s="204">
        <v>5.0483118282819168E-4</v>
      </c>
    </row>
    <row r="54" spans="1:17" x14ac:dyDescent="0.25">
      <c r="A54" s="192" t="s">
        <v>287</v>
      </c>
      <c r="B54" s="119" t="s">
        <v>101</v>
      </c>
      <c r="C54" s="202">
        <v>28</v>
      </c>
      <c r="D54" s="202">
        <v>1</v>
      </c>
      <c r="E54" s="202">
        <v>259</v>
      </c>
      <c r="F54" s="202">
        <v>6</v>
      </c>
      <c r="G54" s="203">
        <v>1347.1902539999999</v>
      </c>
      <c r="H54" s="203">
        <v>38.491199999999999</v>
      </c>
      <c r="I54" s="203"/>
      <c r="J54" s="203">
        <v>4904.6499999999969</v>
      </c>
      <c r="K54" s="203">
        <v>120.28500000000003</v>
      </c>
      <c r="L54" s="203"/>
      <c r="M54" s="203">
        <v>1385.6814539999998</v>
      </c>
      <c r="N54" s="203">
        <v>5024.9349999999968</v>
      </c>
      <c r="O54" s="203">
        <v>5024.9349999999968</v>
      </c>
      <c r="P54" s="203">
        <v>6410.6164539999963</v>
      </c>
      <c r="Q54" s="204">
        <v>4.1153002385318908E-4</v>
      </c>
    </row>
    <row r="55" spans="1:17" x14ac:dyDescent="0.25">
      <c r="A55" s="192" t="s">
        <v>349</v>
      </c>
      <c r="B55" s="119" t="s">
        <v>531</v>
      </c>
      <c r="C55" s="202">
        <v>2031</v>
      </c>
      <c r="D55" s="202">
        <v>840</v>
      </c>
      <c r="E55" s="202">
        <v>18450</v>
      </c>
      <c r="F55" s="202">
        <v>3378</v>
      </c>
      <c r="G55" s="203">
        <v>115078.47523200016</v>
      </c>
      <c r="H55" s="203">
        <v>10470.487798000042</v>
      </c>
      <c r="I55" s="203">
        <v>5004</v>
      </c>
      <c r="J55" s="203">
        <v>373785.43999999843</v>
      </c>
      <c r="K55" s="203">
        <v>72810.962100000062</v>
      </c>
      <c r="L55" s="203">
        <v>16075</v>
      </c>
      <c r="M55" s="203">
        <v>130552.9630300002</v>
      </c>
      <c r="N55" s="203">
        <v>462671.40209999849</v>
      </c>
      <c r="O55" s="203">
        <v>462671.40209999849</v>
      </c>
      <c r="P55" s="203">
        <v>593224.36512999865</v>
      </c>
      <c r="Q55" s="204">
        <v>3.8082084442895209E-2</v>
      </c>
    </row>
    <row r="56" spans="1:17" ht="24" x14ac:dyDescent="0.25">
      <c r="A56" s="192" t="s">
        <v>343</v>
      </c>
      <c r="B56" s="119" t="s">
        <v>53</v>
      </c>
      <c r="C56" s="202"/>
      <c r="D56" s="202">
        <v>17</v>
      </c>
      <c r="E56" s="202"/>
      <c r="F56" s="202">
        <v>63</v>
      </c>
      <c r="G56" s="203"/>
      <c r="H56" s="203">
        <v>245.38073699999993</v>
      </c>
      <c r="I56" s="203"/>
      <c r="J56" s="203"/>
      <c r="K56" s="203">
        <v>1181.4660000000003</v>
      </c>
      <c r="L56" s="203"/>
      <c r="M56" s="203">
        <v>245.38073699999993</v>
      </c>
      <c r="N56" s="203">
        <v>1181.4660000000003</v>
      </c>
      <c r="O56" s="203">
        <v>1181.4660000000003</v>
      </c>
      <c r="P56" s="203">
        <v>1426.8467370000003</v>
      </c>
      <c r="Q56" s="204">
        <v>9.1596537700531014E-5</v>
      </c>
    </row>
    <row r="57" spans="1:17" x14ac:dyDescent="0.25">
      <c r="A57" s="192" t="s">
        <v>219</v>
      </c>
      <c r="B57" s="119" t="s">
        <v>143</v>
      </c>
      <c r="C57" s="202">
        <v>407</v>
      </c>
      <c r="D57" s="202">
        <v>209</v>
      </c>
      <c r="E57" s="202">
        <v>4372</v>
      </c>
      <c r="F57" s="202">
        <v>748</v>
      </c>
      <c r="G57" s="203">
        <v>25761.463847999872</v>
      </c>
      <c r="H57" s="203">
        <v>2683.9593569999979</v>
      </c>
      <c r="I57" s="203">
        <v>972</v>
      </c>
      <c r="J57" s="203">
        <v>89924.249999999971</v>
      </c>
      <c r="K57" s="203">
        <v>16984.160999999978</v>
      </c>
      <c r="L57" s="203">
        <v>2509</v>
      </c>
      <c r="M57" s="203">
        <v>29417.423204999868</v>
      </c>
      <c r="N57" s="203">
        <v>109417.41099999995</v>
      </c>
      <c r="O57" s="203">
        <v>109387.71099999995</v>
      </c>
      <c r="P57" s="203">
        <v>138805.13420499983</v>
      </c>
      <c r="Q57" s="204">
        <v>8.9106064292282378E-3</v>
      </c>
    </row>
    <row r="58" spans="1:17" x14ac:dyDescent="0.25">
      <c r="A58" s="192" t="s">
        <v>259</v>
      </c>
      <c r="B58" s="119" t="s">
        <v>524</v>
      </c>
      <c r="C58" s="202">
        <v>95</v>
      </c>
      <c r="D58" s="202">
        <v>429</v>
      </c>
      <c r="E58" s="202">
        <v>1202</v>
      </c>
      <c r="F58" s="202">
        <v>1524</v>
      </c>
      <c r="G58" s="203">
        <v>2746.3859099999981</v>
      </c>
      <c r="H58" s="203">
        <v>4080.7592759999902</v>
      </c>
      <c r="I58" s="203"/>
      <c r="J58" s="203">
        <v>17186.55</v>
      </c>
      <c r="K58" s="203">
        <v>28527.012000000064</v>
      </c>
      <c r="L58" s="203"/>
      <c r="M58" s="203">
        <v>6827.1451859999888</v>
      </c>
      <c r="N58" s="203">
        <v>45713.562000000064</v>
      </c>
      <c r="O58" s="203">
        <v>38325.668398427944</v>
      </c>
      <c r="P58" s="203">
        <v>45152.813584427931</v>
      </c>
      <c r="Q58" s="204">
        <v>2.8985883939201952E-3</v>
      </c>
    </row>
    <row r="59" spans="1:17" x14ac:dyDescent="0.25">
      <c r="A59" s="192" t="s">
        <v>324</v>
      </c>
      <c r="B59" s="119" t="s">
        <v>59</v>
      </c>
      <c r="C59" s="202">
        <v>845</v>
      </c>
      <c r="D59" s="202">
        <v>292</v>
      </c>
      <c r="E59" s="202">
        <v>8095</v>
      </c>
      <c r="F59" s="202">
        <v>1017</v>
      </c>
      <c r="G59" s="203">
        <v>51041.925593999535</v>
      </c>
      <c r="H59" s="203">
        <v>4110.7066210000021</v>
      </c>
      <c r="I59" s="203">
        <v>4860</v>
      </c>
      <c r="J59" s="203">
        <v>158256.34999999925</v>
      </c>
      <c r="K59" s="203">
        <v>23503.698642864754</v>
      </c>
      <c r="L59" s="203">
        <v>12995.5</v>
      </c>
      <c r="M59" s="203">
        <v>60012.632214999539</v>
      </c>
      <c r="N59" s="203">
        <v>194755.54864286401</v>
      </c>
      <c r="O59" s="203">
        <v>194755.54864286401</v>
      </c>
      <c r="P59" s="203">
        <v>254768.18085786357</v>
      </c>
      <c r="Q59" s="204">
        <v>1.6354863264366845E-2</v>
      </c>
    </row>
    <row r="60" spans="1:17" x14ac:dyDescent="0.25">
      <c r="A60" s="192" t="s">
        <v>317</v>
      </c>
      <c r="B60" s="119" t="s">
        <v>164</v>
      </c>
      <c r="C60" s="202"/>
      <c r="D60" s="202">
        <v>13</v>
      </c>
      <c r="E60" s="202"/>
      <c r="F60" s="202">
        <v>59</v>
      </c>
      <c r="G60" s="203"/>
      <c r="H60" s="203">
        <v>549.95699600000012</v>
      </c>
      <c r="I60" s="203"/>
      <c r="J60" s="203"/>
      <c r="K60" s="203">
        <v>1162.3500000000004</v>
      </c>
      <c r="L60" s="203"/>
      <c r="M60" s="203">
        <v>549.95699600000012</v>
      </c>
      <c r="N60" s="203">
        <v>1162.3500000000004</v>
      </c>
      <c r="O60" s="203">
        <v>1162.3500000000004</v>
      </c>
      <c r="P60" s="203">
        <v>1712.3069960000005</v>
      </c>
      <c r="Q60" s="204">
        <v>1.0992168131789829E-4</v>
      </c>
    </row>
    <row r="61" spans="1:17" x14ac:dyDescent="0.25">
      <c r="A61" s="192" t="s">
        <v>371</v>
      </c>
      <c r="B61" s="119" t="s">
        <v>459</v>
      </c>
      <c r="C61" s="202">
        <v>7</v>
      </c>
      <c r="D61" s="202"/>
      <c r="E61" s="202">
        <v>77</v>
      </c>
      <c r="F61" s="202"/>
      <c r="G61" s="203">
        <v>498.95999999999992</v>
      </c>
      <c r="H61" s="203"/>
      <c r="I61" s="203"/>
      <c r="J61" s="203">
        <v>1169.4199999999998</v>
      </c>
      <c r="K61" s="203"/>
      <c r="L61" s="203"/>
      <c r="M61" s="203">
        <v>498.95999999999992</v>
      </c>
      <c r="N61" s="203">
        <v>1169.4199999999998</v>
      </c>
      <c r="O61" s="203">
        <v>1169.4199999999998</v>
      </c>
      <c r="P61" s="203">
        <v>1668.3799999999997</v>
      </c>
      <c r="Q61" s="204">
        <v>1.0710178437953136E-4</v>
      </c>
    </row>
    <row r="62" spans="1:17" x14ac:dyDescent="0.25">
      <c r="A62" s="192" t="s">
        <v>237</v>
      </c>
      <c r="B62" s="119" t="s">
        <v>136</v>
      </c>
      <c r="C62" s="202">
        <v>719</v>
      </c>
      <c r="D62" s="202">
        <v>314</v>
      </c>
      <c r="E62" s="202">
        <v>6845</v>
      </c>
      <c r="F62" s="202">
        <v>1215</v>
      </c>
      <c r="G62" s="203">
        <v>42597.287460000312</v>
      </c>
      <c r="H62" s="203">
        <v>4805.4102320000029</v>
      </c>
      <c r="I62" s="203">
        <v>4464</v>
      </c>
      <c r="J62" s="203">
        <v>119317.48999999976</v>
      </c>
      <c r="K62" s="203">
        <v>24257.863800000065</v>
      </c>
      <c r="L62" s="203">
        <v>11532.5</v>
      </c>
      <c r="M62" s="203">
        <v>51866.697692000314</v>
      </c>
      <c r="N62" s="203">
        <v>155107.85379999981</v>
      </c>
      <c r="O62" s="203">
        <v>155107.85379999981</v>
      </c>
      <c r="P62" s="203">
        <v>206974.55149200012</v>
      </c>
      <c r="Q62" s="204">
        <v>1.328674749514284E-2</v>
      </c>
    </row>
    <row r="63" spans="1:17" x14ac:dyDescent="0.25">
      <c r="A63" s="192" t="s">
        <v>369</v>
      </c>
      <c r="B63" s="119" t="s">
        <v>30</v>
      </c>
      <c r="C63" s="202">
        <v>44</v>
      </c>
      <c r="D63" s="202">
        <v>25</v>
      </c>
      <c r="E63" s="202">
        <v>347</v>
      </c>
      <c r="F63" s="202">
        <v>132</v>
      </c>
      <c r="G63" s="203">
        <v>1564.9186499999992</v>
      </c>
      <c r="H63" s="203">
        <v>324.91238400000015</v>
      </c>
      <c r="I63" s="203">
        <v>144</v>
      </c>
      <c r="J63" s="203">
        <v>5888.5400000000027</v>
      </c>
      <c r="K63" s="203">
        <v>2446.8074999999999</v>
      </c>
      <c r="L63" s="203">
        <v>444.5</v>
      </c>
      <c r="M63" s="203">
        <v>2033.8310339999994</v>
      </c>
      <c r="N63" s="203">
        <v>8779.8475000000035</v>
      </c>
      <c r="O63" s="203">
        <v>8779.8475000000035</v>
      </c>
      <c r="P63" s="203">
        <v>10813.678534000002</v>
      </c>
      <c r="Q63" s="204">
        <v>6.9418493790265716E-4</v>
      </c>
    </row>
    <row r="64" spans="1:17" x14ac:dyDescent="0.25">
      <c r="A64" s="192" t="s">
        <v>346</v>
      </c>
      <c r="B64" s="119" t="s">
        <v>201</v>
      </c>
      <c r="C64" s="202">
        <v>22</v>
      </c>
      <c r="D64" s="202">
        <v>20</v>
      </c>
      <c r="E64" s="202">
        <v>244</v>
      </c>
      <c r="F64" s="202">
        <v>97</v>
      </c>
      <c r="G64" s="203">
        <v>890.99949600000036</v>
      </c>
      <c r="H64" s="203">
        <v>297.43180200000006</v>
      </c>
      <c r="I64" s="203">
        <v>144</v>
      </c>
      <c r="J64" s="203">
        <v>5183.21</v>
      </c>
      <c r="K64" s="203">
        <v>1621.1745000000008</v>
      </c>
      <c r="L64" s="203">
        <v>288</v>
      </c>
      <c r="M64" s="203">
        <v>1332.4312980000004</v>
      </c>
      <c r="N64" s="203">
        <v>7092.384500000001</v>
      </c>
      <c r="O64" s="203">
        <v>7092.384500000001</v>
      </c>
      <c r="P64" s="203">
        <v>8424.8157980000015</v>
      </c>
      <c r="Q64" s="204">
        <v>5.4083170802494973E-4</v>
      </c>
    </row>
    <row r="65" spans="1:17" x14ac:dyDescent="0.25">
      <c r="A65" s="192" t="s">
        <v>351</v>
      </c>
      <c r="B65" s="119" t="s">
        <v>44</v>
      </c>
      <c r="C65" s="202">
        <v>763</v>
      </c>
      <c r="D65" s="202">
        <v>259</v>
      </c>
      <c r="E65" s="202">
        <v>8039</v>
      </c>
      <c r="F65" s="202">
        <v>969</v>
      </c>
      <c r="G65" s="203">
        <v>44124.473502000124</v>
      </c>
      <c r="H65" s="203">
        <v>3885.4478489999892</v>
      </c>
      <c r="I65" s="203">
        <v>2016</v>
      </c>
      <c r="J65" s="203">
        <v>158405.41000000027</v>
      </c>
      <c r="K65" s="203">
        <v>23574.33450000532</v>
      </c>
      <c r="L65" s="203">
        <v>6707.5</v>
      </c>
      <c r="M65" s="203">
        <v>50025.921351000114</v>
      </c>
      <c r="N65" s="203">
        <v>188687.24450000559</v>
      </c>
      <c r="O65" s="203">
        <v>188687.24450000559</v>
      </c>
      <c r="P65" s="203">
        <v>238713.1658510057</v>
      </c>
      <c r="Q65" s="204">
        <v>1.5324210322306504E-2</v>
      </c>
    </row>
    <row r="66" spans="1:17" x14ac:dyDescent="0.25">
      <c r="A66" s="192" t="s">
        <v>283</v>
      </c>
      <c r="B66" s="119" t="s">
        <v>102</v>
      </c>
      <c r="C66" s="202">
        <v>256</v>
      </c>
      <c r="D66" s="202">
        <v>106</v>
      </c>
      <c r="E66" s="202">
        <v>3505</v>
      </c>
      <c r="F66" s="202">
        <v>474</v>
      </c>
      <c r="G66" s="203">
        <v>15920.161433999996</v>
      </c>
      <c r="H66" s="203">
        <v>1694.7062999999966</v>
      </c>
      <c r="I66" s="203">
        <v>1080</v>
      </c>
      <c r="J66" s="203">
        <v>61865.080000000075</v>
      </c>
      <c r="K66" s="203">
        <v>9049.8002143880421</v>
      </c>
      <c r="L66" s="203">
        <v>3500</v>
      </c>
      <c r="M66" s="203">
        <v>18694.867733999992</v>
      </c>
      <c r="N66" s="203">
        <v>74414.880214388118</v>
      </c>
      <c r="O66" s="203">
        <v>74414.880214388118</v>
      </c>
      <c r="P66" s="203">
        <v>93109.747948388103</v>
      </c>
      <c r="Q66" s="204">
        <v>5.9771875402490895E-3</v>
      </c>
    </row>
    <row r="67" spans="1:17" x14ac:dyDescent="0.25">
      <c r="A67" s="192" t="s">
        <v>276</v>
      </c>
      <c r="B67" s="119" t="s">
        <v>108</v>
      </c>
      <c r="C67" s="202">
        <v>11</v>
      </c>
      <c r="D67" s="202">
        <v>12</v>
      </c>
      <c r="E67" s="202">
        <v>146</v>
      </c>
      <c r="F67" s="202">
        <v>53</v>
      </c>
      <c r="G67" s="203">
        <v>623.69926199999998</v>
      </c>
      <c r="H67" s="203">
        <v>317.55225100000007</v>
      </c>
      <c r="I67" s="203">
        <v>72</v>
      </c>
      <c r="J67" s="203">
        <v>3219.5999999999981</v>
      </c>
      <c r="K67" s="203">
        <v>968.96250000000032</v>
      </c>
      <c r="L67" s="203">
        <v>165</v>
      </c>
      <c r="M67" s="203">
        <v>1013.251513</v>
      </c>
      <c r="N67" s="203">
        <v>4353.5624999999982</v>
      </c>
      <c r="O67" s="203">
        <v>4353.5624999999982</v>
      </c>
      <c r="P67" s="203">
        <v>5366.8140129999983</v>
      </c>
      <c r="Q67" s="204">
        <v>3.4452304464532857E-4</v>
      </c>
    </row>
    <row r="68" spans="1:17" x14ac:dyDescent="0.25">
      <c r="A68" s="192" t="s">
        <v>382</v>
      </c>
      <c r="B68" s="119" t="s">
        <v>198</v>
      </c>
      <c r="C68" s="202"/>
      <c r="D68" s="202">
        <v>114</v>
      </c>
      <c r="E68" s="202"/>
      <c r="F68" s="202">
        <v>255</v>
      </c>
      <c r="G68" s="203"/>
      <c r="H68" s="203">
        <v>970.63633599999844</v>
      </c>
      <c r="I68" s="203"/>
      <c r="J68" s="203"/>
      <c r="K68" s="203">
        <v>7646.939999999996</v>
      </c>
      <c r="L68" s="203"/>
      <c r="M68" s="203">
        <v>970.63633599999844</v>
      </c>
      <c r="N68" s="203">
        <v>7646.939999999996</v>
      </c>
      <c r="O68" s="203">
        <v>3492.7200000000025</v>
      </c>
      <c r="P68" s="203">
        <v>4463.3563360000007</v>
      </c>
      <c r="Q68" s="204">
        <v>2.8652550852161212E-4</v>
      </c>
    </row>
    <row r="69" spans="1:17" x14ac:dyDescent="0.25">
      <c r="A69" s="192" t="s">
        <v>254</v>
      </c>
      <c r="B69" s="119" t="s">
        <v>125</v>
      </c>
      <c r="C69" s="202">
        <v>2581</v>
      </c>
      <c r="D69" s="202">
        <v>659</v>
      </c>
      <c r="E69" s="202">
        <v>27328</v>
      </c>
      <c r="F69" s="202">
        <v>2558</v>
      </c>
      <c r="G69" s="203">
        <v>152628.11951399967</v>
      </c>
      <c r="H69" s="203">
        <v>9744.7746909999223</v>
      </c>
      <c r="I69" s="203">
        <v>11052</v>
      </c>
      <c r="J69" s="203">
        <v>502528.79000000021</v>
      </c>
      <c r="K69" s="203">
        <v>57920.207142886262</v>
      </c>
      <c r="L69" s="203">
        <v>36374.5</v>
      </c>
      <c r="M69" s="203">
        <v>173424.89420499958</v>
      </c>
      <c r="N69" s="203">
        <v>596823.49714288651</v>
      </c>
      <c r="O69" s="203">
        <v>596823.49714288651</v>
      </c>
      <c r="P69" s="203">
        <v>770248.39134788606</v>
      </c>
      <c r="Q69" s="204">
        <v>4.944615562930639E-2</v>
      </c>
    </row>
    <row r="70" spans="1:17" x14ac:dyDescent="0.25">
      <c r="A70" s="192" t="s">
        <v>296</v>
      </c>
      <c r="B70" s="119" t="s">
        <v>96</v>
      </c>
      <c r="C70" s="202">
        <v>1539</v>
      </c>
      <c r="D70" s="202">
        <v>451</v>
      </c>
      <c r="E70" s="202">
        <v>14548</v>
      </c>
      <c r="F70" s="202">
        <v>1739</v>
      </c>
      <c r="G70" s="203">
        <v>87199.717319998381</v>
      </c>
      <c r="H70" s="203">
        <v>5715.6907909999882</v>
      </c>
      <c r="I70" s="203">
        <v>5904</v>
      </c>
      <c r="J70" s="203">
        <v>295050.34999999852</v>
      </c>
      <c r="K70" s="203">
        <v>38103.015214275809</v>
      </c>
      <c r="L70" s="203">
        <v>16372.75</v>
      </c>
      <c r="M70" s="203">
        <v>98819.408110998367</v>
      </c>
      <c r="N70" s="203">
        <v>349526.11521427432</v>
      </c>
      <c r="O70" s="203">
        <v>349526.11521427432</v>
      </c>
      <c r="P70" s="203">
        <v>448345.52332527272</v>
      </c>
      <c r="Q70" s="204">
        <v>2.8781575880022246E-2</v>
      </c>
    </row>
    <row r="71" spans="1:17" x14ac:dyDescent="0.25">
      <c r="A71" s="192" t="s">
        <v>344</v>
      </c>
      <c r="B71" s="119" t="s">
        <v>52</v>
      </c>
      <c r="C71" s="202"/>
      <c r="D71" s="202">
        <v>23</v>
      </c>
      <c r="E71" s="202"/>
      <c r="F71" s="202">
        <v>65</v>
      </c>
      <c r="G71" s="203"/>
      <c r="H71" s="203">
        <v>382.57845800000007</v>
      </c>
      <c r="I71" s="203"/>
      <c r="J71" s="203"/>
      <c r="K71" s="203">
        <v>2212.5960000000014</v>
      </c>
      <c r="L71" s="203"/>
      <c r="M71" s="203">
        <v>382.57845800000007</v>
      </c>
      <c r="N71" s="203">
        <v>2212.5960000000014</v>
      </c>
      <c r="O71" s="203">
        <v>2212.5960000000014</v>
      </c>
      <c r="P71" s="203">
        <v>2595.1744580000013</v>
      </c>
      <c r="Q71" s="204">
        <v>1.6659742698185267E-4</v>
      </c>
    </row>
    <row r="72" spans="1:17" x14ac:dyDescent="0.25">
      <c r="A72" s="192" t="s">
        <v>318</v>
      </c>
      <c r="B72" s="119" t="s">
        <v>60</v>
      </c>
      <c r="C72" s="202">
        <v>1803</v>
      </c>
      <c r="D72" s="202">
        <v>612</v>
      </c>
      <c r="E72" s="202">
        <v>19069</v>
      </c>
      <c r="F72" s="202">
        <v>2278</v>
      </c>
      <c r="G72" s="203">
        <v>107536.77219599941</v>
      </c>
      <c r="H72" s="203">
        <v>10123.538773999915</v>
      </c>
      <c r="I72" s="203">
        <v>4824</v>
      </c>
      <c r="J72" s="203">
        <v>337737.8399999995</v>
      </c>
      <c r="K72" s="203">
        <v>53499.004585718794</v>
      </c>
      <c r="L72" s="203">
        <v>14609</v>
      </c>
      <c r="M72" s="203">
        <v>122484.31096999932</v>
      </c>
      <c r="N72" s="203">
        <v>405845.8445857183</v>
      </c>
      <c r="O72" s="203">
        <v>405845.8445857183</v>
      </c>
      <c r="P72" s="203">
        <v>528330.15555571765</v>
      </c>
      <c r="Q72" s="204">
        <v>3.3916195591851224E-2</v>
      </c>
    </row>
    <row r="73" spans="1:17" x14ac:dyDescent="0.25">
      <c r="A73" s="192" t="s">
        <v>345</v>
      </c>
      <c r="B73" s="119" t="s">
        <v>51</v>
      </c>
      <c r="C73" s="202">
        <v>38</v>
      </c>
      <c r="D73" s="202">
        <v>2</v>
      </c>
      <c r="E73" s="202">
        <v>396</v>
      </c>
      <c r="F73" s="202">
        <v>7</v>
      </c>
      <c r="G73" s="203">
        <v>2099.195999999999</v>
      </c>
      <c r="H73" s="203">
        <v>19.2456</v>
      </c>
      <c r="I73" s="203">
        <v>108</v>
      </c>
      <c r="J73" s="203">
        <v>7859.3899999999976</v>
      </c>
      <c r="K73" s="203">
        <v>117.61199999999999</v>
      </c>
      <c r="L73" s="203">
        <v>292</v>
      </c>
      <c r="M73" s="203">
        <v>2226.4415999999992</v>
      </c>
      <c r="N73" s="203">
        <v>8269.0019999999968</v>
      </c>
      <c r="O73" s="203">
        <v>8269.0019999999968</v>
      </c>
      <c r="P73" s="203">
        <v>10495.443599999995</v>
      </c>
      <c r="Q73" s="204">
        <v>6.7375582146437379E-4</v>
      </c>
    </row>
    <row r="74" spans="1:17" x14ac:dyDescent="0.25">
      <c r="A74" s="192" t="s">
        <v>221</v>
      </c>
      <c r="B74" s="119" t="s">
        <v>142</v>
      </c>
      <c r="C74" s="202">
        <v>368</v>
      </c>
      <c r="D74" s="202">
        <v>302</v>
      </c>
      <c r="E74" s="202">
        <v>4013</v>
      </c>
      <c r="F74" s="202">
        <v>1169</v>
      </c>
      <c r="G74" s="203">
        <v>25279.060607999876</v>
      </c>
      <c r="H74" s="203">
        <v>4388.7451500000125</v>
      </c>
      <c r="I74" s="203">
        <v>1548</v>
      </c>
      <c r="J74" s="203">
        <v>88749.099999999904</v>
      </c>
      <c r="K74" s="203">
        <v>31547.9961</v>
      </c>
      <c r="L74" s="203">
        <v>4283</v>
      </c>
      <c r="M74" s="203">
        <v>31215.805757999889</v>
      </c>
      <c r="N74" s="203">
        <v>124580.09609999991</v>
      </c>
      <c r="O74" s="203">
        <v>124580.09609999991</v>
      </c>
      <c r="P74" s="203">
        <v>155795.90185799979</v>
      </c>
      <c r="Q74" s="204">
        <v>1.0001330085478204E-2</v>
      </c>
    </row>
    <row r="75" spans="1:17" x14ac:dyDescent="0.25">
      <c r="A75" s="192" t="s">
        <v>285</v>
      </c>
      <c r="B75" s="119" t="s">
        <v>98</v>
      </c>
      <c r="C75" s="202">
        <v>20</v>
      </c>
      <c r="D75" s="202"/>
      <c r="E75" s="202">
        <v>198</v>
      </c>
      <c r="F75" s="202"/>
      <c r="G75" s="203">
        <v>730.61999999999978</v>
      </c>
      <c r="H75" s="203"/>
      <c r="I75" s="203"/>
      <c r="J75" s="203">
        <v>3779.3599999999992</v>
      </c>
      <c r="K75" s="203"/>
      <c r="L75" s="203">
        <v>190.5</v>
      </c>
      <c r="M75" s="203">
        <v>730.61999999999978</v>
      </c>
      <c r="N75" s="203">
        <v>3969.8599999999992</v>
      </c>
      <c r="O75" s="203">
        <v>3969.8599999999992</v>
      </c>
      <c r="P75" s="203">
        <v>4700.4799999999987</v>
      </c>
      <c r="Q75" s="204">
        <v>3.0174768064847307E-4</v>
      </c>
    </row>
    <row r="76" spans="1:17" x14ac:dyDescent="0.25">
      <c r="A76" s="192" t="s">
        <v>347</v>
      </c>
      <c r="B76" s="119" t="s">
        <v>50</v>
      </c>
      <c r="C76" s="202">
        <v>782</v>
      </c>
      <c r="D76" s="202">
        <v>348</v>
      </c>
      <c r="E76" s="202">
        <v>7415</v>
      </c>
      <c r="F76" s="202">
        <v>1564</v>
      </c>
      <c r="G76" s="203">
        <v>45979.562429999787</v>
      </c>
      <c r="H76" s="203">
        <v>4880.724019000003</v>
      </c>
      <c r="I76" s="203">
        <v>2016</v>
      </c>
      <c r="J76" s="203">
        <v>146410.79999999944</v>
      </c>
      <c r="K76" s="203">
        <v>31173.147000000034</v>
      </c>
      <c r="L76" s="203">
        <v>5245</v>
      </c>
      <c r="M76" s="203">
        <v>52876.286448999788</v>
      </c>
      <c r="N76" s="203">
        <v>182828.94699999946</v>
      </c>
      <c r="O76" s="203">
        <v>182828.94699999946</v>
      </c>
      <c r="P76" s="203">
        <v>235705.23344899924</v>
      </c>
      <c r="Q76" s="204">
        <v>1.5131115866877943E-2</v>
      </c>
    </row>
    <row r="77" spans="1:17" x14ac:dyDescent="0.25">
      <c r="A77" s="192" t="s">
        <v>336</v>
      </c>
      <c r="B77" s="119" t="s">
        <v>63</v>
      </c>
      <c r="C77" s="202">
        <v>496</v>
      </c>
      <c r="D77" s="202">
        <v>223</v>
      </c>
      <c r="E77" s="202">
        <v>4339</v>
      </c>
      <c r="F77" s="202">
        <v>747</v>
      </c>
      <c r="G77" s="203">
        <v>22313.860110000081</v>
      </c>
      <c r="H77" s="203">
        <v>2749.7447380000126</v>
      </c>
      <c r="I77" s="203">
        <v>1800</v>
      </c>
      <c r="J77" s="203">
        <v>91316.810000000478</v>
      </c>
      <c r="K77" s="203">
        <v>16548.219000000041</v>
      </c>
      <c r="L77" s="203">
        <v>5319.55</v>
      </c>
      <c r="M77" s="203">
        <v>26863.604848000094</v>
      </c>
      <c r="N77" s="203">
        <v>113184.57900000052</v>
      </c>
      <c r="O77" s="203">
        <v>113184.57900000052</v>
      </c>
      <c r="P77" s="203">
        <v>140048.18384800063</v>
      </c>
      <c r="Q77" s="204">
        <v>8.9904040981272446E-3</v>
      </c>
    </row>
    <row r="78" spans="1:17" x14ac:dyDescent="0.25">
      <c r="A78" s="192" t="s">
        <v>280</v>
      </c>
      <c r="B78" s="119" t="s">
        <v>105</v>
      </c>
      <c r="C78" s="202"/>
      <c r="D78" s="202">
        <v>34</v>
      </c>
      <c r="E78" s="202"/>
      <c r="F78" s="202">
        <v>279</v>
      </c>
      <c r="G78" s="203"/>
      <c r="H78" s="203">
        <v>439.97168000000016</v>
      </c>
      <c r="I78" s="203"/>
      <c r="J78" s="203"/>
      <c r="K78" s="203">
        <v>3795.4170000000013</v>
      </c>
      <c r="L78" s="203"/>
      <c r="M78" s="203">
        <v>439.97168000000016</v>
      </c>
      <c r="N78" s="203">
        <v>3795.4170000000013</v>
      </c>
      <c r="O78" s="203">
        <v>3795.4170000000013</v>
      </c>
      <c r="P78" s="203">
        <v>4235.3886800000018</v>
      </c>
      <c r="Q78" s="204">
        <v>2.7189110704328045E-4</v>
      </c>
    </row>
    <row r="79" spans="1:17" x14ac:dyDescent="0.25">
      <c r="A79" s="192" t="s">
        <v>307</v>
      </c>
      <c r="B79" s="119" t="s">
        <v>83</v>
      </c>
      <c r="C79" s="202">
        <v>77</v>
      </c>
      <c r="D79" s="202">
        <v>28</v>
      </c>
      <c r="E79" s="202">
        <v>583</v>
      </c>
      <c r="F79" s="202">
        <v>117</v>
      </c>
      <c r="G79" s="203">
        <v>3884.7556439999998</v>
      </c>
      <c r="H79" s="203">
        <v>476.182188</v>
      </c>
      <c r="I79" s="203">
        <v>72</v>
      </c>
      <c r="J79" s="203">
        <v>10355.550000000005</v>
      </c>
      <c r="K79" s="203">
        <v>2552.8446000000004</v>
      </c>
      <c r="L79" s="203">
        <v>238</v>
      </c>
      <c r="M79" s="203">
        <v>4432.9378319999996</v>
      </c>
      <c r="N79" s="203">
        <v>13146.394600000005</v>
      </c>
      <c r="O79" s="203">
        <v>13146.394600000005</v>
      </c>
      <c r="P79" s="203">
        <v>17579.332432000003</v>
      </c>
      <c r="Q79" s="204">
        <v>1.1285066181973935E-3</v>
      </c>
    </row>
    <row r="80" spans="1:17" x14ac:dyDescent="0.25">
      <c r="A80" s="192" t="s">
        <v>263</v>
      </c>
      <c r="B80" s="119" t="s">
        <v>148</v>
      </c>
      <c r="C80" s="202"/>
      <c r="D80" s="202">
        <v>18</v>
      </c>
      <c r="E80" s="202"/>
      <c r="F80" s="202">
        <v>92</v>
      </c>
      <c r="G80" s="203"/>
      <c r="H80" s="203">
        <v>286.93439999999998</v>
      </c>
      <c r="I80" s="203"/>
      <c r="J80" s="203"/>
      <c r="K80" s="203">
        <v>1809.3780000000006</v>
      </c>
      <c r="L80" s="203"/>
      <c r="M80" s="203">
        <v>286.93439999999998</v>
      </c>
      <c r="N80" s="203">
        <v>1809.3780000000006</v>
      </c>
      <c r="O80" s="203">
        <v>1670.1950769230762</v>
      </c>
      <c r="P80" s="203">
        <v>1957.1294769230763</v>
      </c>
      <c r="Q80" s="204">
        <v>1.2563807959831713E-4</v>
      </c>
    </row>
    <row r="81" spans="1:17" x14ac:dyDescent="0.25">
      <c r="A81" s="192" t="s">
        <v>352</v>
      </c>
      <c r="B81" s="119" t="s">
        <v>43</v>
      </c>
      <c r="C81" s="202">
        <v>26</v>
      </c>
      <c r="D81" s="202"/>
      <c r="E81" s="202">
        <v>300</v>
      </c>
      <c r="F81" s="202"/>
      <c r="G81" s="203">
        <v>2718.8988300000001</v>
      </c>
      <c r="H81" s="203"/>
      <c r="I81" s="203"/>
      <c r="J81" s="203">
        <v>7257.97</v>
      </c>
      <c r="K81" s="203"/>
      <c r="L81" s="203"/>
      <c r="M81" s="203">
        <v>2718.8988300000001</v>
      </c>
      <c r="N81" s="203">
        <v>7257.97</v>
      </c>
      <c r="O81" s="203">
        <v>7257.97</v>
      </c>
      <c r="P81" s="203">
        <v>9976.8688299999994</v>
      </c>
      <c r="Q81" s="204">
        <v>6.4046587361004531E-4</v>
      </c>
    </row>
    <row r="82" spans="1:17" x14ac:dyDescent="0.25">
      <c r="A82" s="192" t="s">
        <v>243</v>
      </c>
      <c r="B82" s="119" t="s">
        <v>131</v>
      </c>
      <c r="C82" s="202">
        <v>67</v>
      </c>
      <c r="D82" s="202">
        <v>16</v>
      </c>
      <c r="E82" s="202">
        <v>736</v>
      </c>
      <c r="F82" s="202">
        <v>36</v>
      </c>
      <c r="G82" s="203">
        <v>3872.3364899999951</v>
      </c>
      <c r="H82" s="203">
        <v>187.49855399999998</v>
      </c>
      <c r="I82" s="203">
        <v>828</v>
      </c>
      <c r="J82" s="203">
        <v>15166.64999999998</v>
      </c>
      <c r="K82" s="203">
        <v>771.47640000000024</v>
      </c>
      <c r="L82" s="203">
        <v>2293</v>
      </c>
      <c r="M82" s="203">
        <v>4887.8350439999949</v>
      </c>
      <c r="N82" s="203">
        <v>18231.126399999979</v>
      </c>
      <c r="O82" s="203">
        <v>18231.126399999979</v>
      </c>
      <c r="P82" s="203">
        <v>23118.961443999975</v>
      </c>
      <c r="Q82" s="204">
        <v>1.4841235351982071E-3</v>
      </c>
    </row>
    <row r="83" spans="1:17" ht="24" x14ac:dyDescent="0.25">
      <c r="A83" s="192" t="s">
        <v>286</v>
      </c>
      <c r="B83" s="119" t="s">
        <v>97</v>
      </c>
      <c r="C83" s="202">
        <v>46</v>
      </c>
      <c r="D83" s="202">
        <v>23</v>
      </c>
      <c r="E83" s="202">
        <v>406</v>
      </c>
      <c r="F83" s="202">
        <v>108</v>
      </c>
      <c r="G83" s="203">
        <v>1709.0131319999994</v>
      </c>
      <c r="H83" s="203">
        <v>396.57521999999977</v>
      </c>
      <c r="I83" s="203"/>
      <c r="J83" s="203">
        <v>8630.899999999996</v>
      </c>
      <c r="K83" s="203">
        <v>1943.5545000000004</v>
      </c>
      <c r="L83" s="203">
        <v>45</v>
      </c>
      <c r="M83" s="203">
        <v>2105.5883519999993</v>
      </c>
      <c r="N83" s="203">
        <v>10619.454499999996</v>
      </c>
      <c r="O83" s="203">
        <v>10619.454499999996</v>
      </c>
      <c r="P83" s="203">
        <v>12725.042851999995</v>
      </c>
      <c r="Q83" s="204">
        <v>8.1688511955022264E-4</v>
      </c>
    </row>
    <row r="84" spans="1:17" x14ac:dyDescent="0.25">
      <c r="A84" s="192" t="s">
        <v>294</v>
      </c>
      <c r="B84" s="119" t="s">
        <v>90</v>
      </c>
      <c r="C84" s="202">
        <v>17</v>
      </c>
      <c r="D84" s="202"/>
      <c r="E84" s="202">
        <v>247</v>
      </c>
      <c r="F84" s="202"/>
      <c r="G84" s="203">
        <v>1505.5199999999995</v>
      </c>
      <c r="H84" s="203"/>
      <c r="I84" s="203">
        <v>36</v>
      </c>
      <c r="J84" s="203">
        <v>4339.9300000000012</v>
      </c>
      <c r="K84" s="203"/>
      <c r="L84" s="203">
        <v>254.5</v>
      </c>
      <c r="M84" s="203">
        <v>1541.5199999999995</v>
      </c>
      <c r="N84" s="203">
        <v>4594.4300000000012</v>
      </c>
      <c r="O84" s="203">
        <v>4594.4300000000012</v>
      </c>
      <c r="P84" s="203">
        <v>6135.9500000000007</v>
      </c>
      <c r="Q84" s="204">
        <v>3.9389778939065775E-4</v>
      </c>
    </row>
    <row r="85" spans="1:17" x14ac:dyDescent="0.25">
      <c r="A85" s="192" t="s">
        <v>378</v>
      </c>
      <c r="B85" s="119" t="s">
        <v>25</v>
      </c>
      <c r="C85" s="202">
        <v>1562</v>
      </c>
      <c r="D85" s="202">
        <v>724</v>
      </c>
      <c r="E85" s="202">
        <v>17199</v>
      </c>
      <c r="F85" s="202">
        <v>2573</v>
      </c>
      <c r="G85" s="203">
        <v>93330.218358000056</v>
      </c>
      <c r="H85" s="203">
        <v>10737.897573999988</v>
      </c>
      <c r="I85" s="203">
        <v>9180</v>
      </c>
      <c r="J85" s="203">
        <v>308879.11999999784</v>
      </c>
      <c r="K85" s="203">
        <v>56139.06149999996</v>
      </c>
      <c r="L85" s="203">
        <v>23407.5</v>
      </c>
      <c r="M85" s="203">
        <v>113248.11593200004</v>
      </c>
      <c r="N85" s="203">
        <v>388425.68149999779</v>
      </c>
      <c r="O85" s="203">
        <v>388425.68149999779</v>
      </c>
      <c r="P85" s="203">
        <v>501673.79743199784</v>
      </c>
      <c r="Q85" s="204">
        <v>3.2204988600572131E-2</v>
      </c>
    </row>
    <row r="86" spans="1:17" x14ac:dyDescent="0.25">
      <c r="A86" s="192" t="s">
        <v>342</v>
      </c>
      <c r="B86" s="119" t="s">
        <v>532</v>
      </c>
      <c r="C86" s="202">
        <v>305</v>
      </c>
      <c r="D86" s="202">
        <v>95</v>
      </c>
      <c r="E86" s="202">
        <v>3291</v>
      </c>
      <c r="F86" s="202">
        <v>358</v>
      </c>
      <c r="G86" s="203">
        <v>14313.585276000051</v>
      </c>
      <c r="H86" s="203">
        <v>962.97490499999878</v>
      </c>
      <c r="I86" s="203">
        <v>900</v>
      </c>
      <c r="J86" s="203">
        <v>35962.500000000044</v>
      </c>
      <c r="K86" s="203">
        <v>7242.4800000000014</v>
      </c>
      <c r="L86" s="203">
        <v>2308.5</v>
      </c>
      <c r="M86" s="203">
        <v>16176.56018100005</v>
      </c>
      <c r="N86" s="203">
        <v>45513.480000000047</v>
      </c>
      <c r="O86" s="203">
        <v>45513.480000000047</v>
      </c>
      <c r="P86" s="203">
        <v>61690.040181000099</v>
      </c>
      <c r="Q86" s="204">
        <v>3.9601969466369165E-3</v>
      </c>
    </row>
    <row r="87" spans="1:17" x14ac:dyDescent="0.25">
      <c r="A87" s="192" t="s">
        <v>331</v>
      </c>
      <c r="B87" s="119" t="s">
        <v>66</v>
      </c>
      <c r="C87" s="202">
        <v>28</v>
      </c>
      <c r="D87" s="202">
        <v>21</v>
      </c>
      <c r="E87" s="202">
        <v>415</v>
      </c>
      <c r="F87" s="202">
        <v>73</v>
      </c>
      <c r="G87" s="203">
        <v>1335.4507620000002</v>
      </c>
      <c r="H87" s="203">
        <v>284.74661000000003</v>
      </c>
      <c r="I87" s="203"/>
      <c r="J87" s="203">
        <v>7681.1399999999976</v>
      </c>
      <c r="K87" s="203">
        <v>1411.3440000000003</v>
      </c>
      <c r="L87" s="203">
        <v>33</v>
      </c>
      <c r="M87" s="203">
        <v>1620.1973720000001</v>
      </c>
      <c r="N87" s="203">
        <v>9125.4839999999986</v>
      </c>
      <c r="O87" s="203">
        <v>9125.4839999999986</v>
      </c>
      <c r="P87" s="203">
        <v>10745.681371999999</v>
      </c>
      <c r="Q87" s="204">
        <v>6.8981985477834234E-4</v>
      </c>
    </row>
    <row r="88" spans="1:17" x14ac:dyDescent="0.25">
      <c r="A88" s="192" t="s">
        <v>313</v>
      </c>
      <c r="B88" s="119" t="s">
        <v>79</v>
      </c>
      <c r="C88" s="202">
        <v>385</v>
      </c>
      <c r="D88" s="202">
        <v>131</v>
      </c>
      <c r="E88" s="202">
        <v>3848</v>
      </c>
      <c r="F88" s="202">
        <v>552</v>
      </c>
      <c r="G88" s="203">
        <v>20309.450633999859</v>
      </c>
      <c r="H88" s="203">
        <v>1827.1271420000041</v>
      </c>
      <c r="I88" s="203">
        <v>1080</v>
      </c>
      <c r="J88" s="203">
        <v>65708.140000000218</v>
      </c>
      <c r="K88" s="203">
        <v>12628.4697</v>
      </c>
      <c r="L88" s="203">
        <v>3058.5</v>
      </c>
      <c r="M88" s="203">
        <v>23216.577775999864</v>
      </c>
      <c r="N88" s="203">
        <v>81395.109700000219</v>
      </c>
      <c r="O88" s="203">
        <v>81395.109700000219</v>
      </c>
      <c r="P88" s="203">
        <v>104611.68747600008</v>
      </c>
      <c r="Q88" s="204">
        <v>6.7155554463812104E-3</v>
      </c>
    </row>
    <row r="89" spans="1:17" x14ac:dyDescent="0.25">
      <c r="A89" s="192" t="s">
        <v>260</v>
      </c>
      <c r="B89" s="119" t="s">
        <v>119</v>
      </c>
      <c r="C89" s="202"/>
      <c r="D89" s="202">
        <v>170</v>
      </c>
      <c r="E89" s="202"/>
      <c r="F89" s="202">
        <v>697</v>
      </c>
      <c r="G89" s="203"/>
      <c r="H89" s="203">
        <v>2021.6238499999943</v>
      </c>
      <c r="I89" s="203"/>
      <c r="J89" s="203"/>
      <c r="K89" s="203">
        <v>16703.576999999932</v>
      </c>
      <c r="L89" s="203"/>
      <c r="M89" s="203">
        <v>2021.6238499999943</v>
      </c>
      <c r="N89" s="203">
        <v>16703.576999999932</v>
      </c>
      <c r="O89" s="203">
        <v>13856.831999999973</v>
      </c>
      <c r="P89" s="203">
        <v>15878.455849999968</v>
      </c>
      <c r="Q89" s="204">
        <v>1.0193187131987947E-3</v>
      </c>
    </row>
    <row r="90" spans="1:17" x14ac:dyDescent="0.25">
      <c r="A90" s="192" t="s">
        <v>370</v>
      </c>
      <c r="B90" s="119" t="s">
        <v>146</v>
      </c>
      <c r="C90" s="202"/>
      <c r="D90" s="202">
        <v>130</v>
      </c>
      <c r="E90" s="202"/>
      <c r="F90" s="202">
        <v>374</v>
      </c>
      <c r="G90" s="203"/>
      <c r="H90" s="203">
        <v>2296.408733000002</v>
      </c>
      <c r="I90" s="203">
        <v>72</v>
      </c>
      <c r="J90" s="203"/>
      <c r="K90" s="203">
        <v>7489.7460000000028</v>
      </c>
      <c r="L90" s="203">
        <v>168.75</v>
      </c>
      <c r="M90" s="203">
        <v>2368.408733000002</v>
      </c>
      <c r="N90" s="203">
        <v>7658.4960000000028</v>
      </c>
      <c r="O90" s="203">
        <v>2361.5062612419711</v>
      </c>
      <c r="P90" s="203">
        <v>4729.9149942419735</v>
      </c>
      <c r="Q90" s="204">
        <v>3.0363726240234014E-4</v>
      </c>
    </row>
    <row r="91" spans="1:17" x14ac:dyDescent="0.25">
      <c r="A91" s="192" t="s">
        <v>304</v>
      </c>
      <c r="B91" s="119" t="s">
        <v>165</v>
      </c>
      <c r="C91" s="202"/>
      <c r="D91" s="202">
        <v>9</v>
      </c>
      <c r="E91" s="202"/>
      <c r="F91" s="202">
        <v>18</v>
      </c>
      <c r="G91" s="203"/>
      <c r="H91" s="203">
        <v>230.94684900000004</v>
      </c>
      <c r="I91" s="203"/>
      <c r="J91" s="203"/>
      <c r="K91" s="203">
        <v>240.57</v>
      </c>
      <c r="L91" s="203"/>
      <c r="M91" s="203">
        <v>230.94684900000004</v>
      </c>
      <c r="N91" s="203">
        <v>240.57</v>
      </c>
      <c r="O91" s="203">
        <v>240.57</v>
      </c>
      <c r="P91" s="203">
        <v>471.51684900000004</v>
      </c>
      <c r="Q91" s="204">
        <v>3.0269060941100983E-5</v>
      </c>
    </row>
    <row r="92" spans="1:17" x14ac:dyDescent="0.25">
      <c r="A92" s="192" t="s">
        <v>338</v>
      </c>
      <c r="B92" s="119" t="s">
        <v>61</v>
      </c>
      <c r="C92" s="202"/>
      <c r="D92" s="202">
        <v>109</v>
      </c>
      <c r="E92" s="202"/>
      <c r="F92" s="202">
        <v>348</v>
      </c>
      <c r="G92" s="203"/>
      <c r="H92" s="203">
        <v>1093.4292449999982</v>
      </c>
      <c r="I92" s="203"/>
      <c r="J92" s="203"/>
      <c r="K92" s="203">
        <v>6576.5519999999951</v>
      </c>
      <c r="L92" s="203"/>
      <c r="M92" s="203">
        <v>1093.4292449999982</v>
      </c>
      <c r="N92" s="203">
        <v>6576.5519999999951</v>
      </c>
      <c r="O92" s="203">
        <v>6576.5519999999951</v>
      </c>
      <c r="P92" s="203">
        <v>7669.9812449999936</v>
      </c>
      <c r="Q92" s="204">
        <v>4.9237504495201268E-4</v>
      </c>
    </row>
    <row r="93" spans="1:17" x14ac:dyDescent="0.25">
      <c r="A93" s="192" t="s">
        <v>299</v>
      </c>
      <c r="B93" s="119" t="s">
        <v>87</v>
      </c>
      <c r="C93" s="202">
        <v>371</v>
      </c>
      <c r="D93" s="202">
        <v>140</v>
      </c>
      <c r="E93" s="202">
        <v>3505</v>
      </c>
      <c r="F93" s="202">
        <v>399</v>
      </c>
      <c r="G93" s="203">
        <v>26343.934343999932</v>
      </c>
      <c r="H93" s="203">
        <v>2214.9930620000014</v>
      </c>
      <c r="I93" s="203">
        <v>2786.3999999999996</v>
      </c>
      <c r="J93" s="203">
        <v>70206.380000000063</v>
      </c>
      <c r="K93" s="203">
        <v>10957.329000000016</v>
      </c>
      <c r="L93" s="203">
        <v>17333.059999999994</v>
      </c>
      <c r="M93" s="203">
        <v>31345.327405999931</v>
      </c>
      <c r="N93" s="203">
        <v>98496.769000000073</v>
      </c>
      <c r="O93" s="203">
        <v>98496.769000000073</v>
      </c>
      <c r="P93" s="203">
        <v>129842.096406</v>
      </c>
      <c r="Q93" s="204">
        <v>8.335223517820723E-3</v>
      </c>
    </row>
    <row r="94" spans="1:17" x14ac:dyDescent="0.25">
      <c r="A94" s="192" t="s">
        <v>291</v>
      </c>
      <c r="B94" s="119" t="s">
        <v>93</v>
      </c>
      <c r="C94" s="202">
        <v>287</v>
      </c>
      <c r="D94" s="202">
        <v>82</v>
      </c>
      <c r="E94" s="202">
        <v>2467</v>
      </c>
      <c r="F94" s="202">
        <v>476</v>
      </c>
      <c r="G94" s="203">
        <v>17613.028475999934</v>
      </c>
      <c r="H94" s="203">
        <v>1214.4399190000006</v>
      </c>
      <c r="I94" s="203">
        <v>900</v>
      </c>
      <c r="J94" s="203">
        <v>61636.419999999918</v>
      </c>
      <c r="K94" s="203">
        <v>11418.829199999976</v>
      </c>
      <c r="L94" s="203">
        <v>2737.5</v>
      </c>
      <c r="M94" s="203">
        <v>19727.468394999934</v>
      </c>
      <c r="N94" s="203">
        <v>75792.749199999889</v>
      </c>
      <c r="O94" s="203">
        <v>75792.749199999889</v>
      </c>
      <c r="P94" s="203">
        <v>95520.21759499982</v>
      </c>
      <c r="Q94" s="204">
        <v>6.131927827440745E-3</v>
      </c>
    </row>
    <row r="95" spans="1:17" x14ac:dyDescent="0.25">
      <c r="A95" s="192" t="s">
        <v>284</v>
      </c>
      <c r="B95" s="119" t="s">
        <v>99</v>
      </c>
      <c r="C95" s="202">
        <v>30</v>
      </c>
      <c r="D95" s="202">
        <v>126</v>
      </c>
      <c r="E95" s="202">
        <v>353</v>
      </c>
      <c r="F95" s="202">
        <v>383</v>
      </c>
      <c r="G95" s="203">
        <v>967.85971200000017</v>
      </c>
      <c r="H95" s="203">
        <v>1423.5573609999976</v>
      </c>
      <c r="I95" s="203"/>
      <c r="J95" s="203">
        <v>6710.3999999999878</v>
      </c>
      <c r="K95" s="203">
        <v>7197.2279999999946</v>
      </c>
      <c r="L95" s="203"/>
      <c r="M95" s="203">
        <v>2391.4170729999978</v>
      </c>
      <c r="N95" s="203">
        <v>13907.627999999982</v>
      </c>
      <c r="O95" s="203">
        <v>13907.627999999982</v>
      </c>
      <c r="P95" s="203">
        <v>16299.045072999979</v>
      </c>
      <c r="Q95" s="204">
        <v>1.0463184712120183E-3</v>
      </c>
    </row>
    <row r="96" spans="1:17" x14ac:dyDescent="0.25">
      <c r="A96" s="192" t="s">
        <v>322</v>
      </c>
      <c r="B96" s="119" t="s">
        <v>72</v>
      </c>
      <c r="C96" s="202">
        <v>3</v>
      </c>
      <c r="D96" s="202">
        <v>53</v>
      </c>
      <c r="E96" s="202">
        <v>25</v>
      </c>
      <c r="F96" s="202">
        <v>206</v>
      </c>
      <c r="G96" s="203">
        <v>187.17377400000001</v>
      </c>
      <c r="H96" s="203">
        <v>645.02763099999959</v>
      </c>
      <c r="I96" s="203"/>
      <c r="J96" s="203">
        <v>606.75</v>
      </c>
      <c r="K96" s="203">
        <v>3814.0739999999951</v>
      </c>
      <c r="L96" s="203"/>
      <c r="M96" s="203">
        <v>832.20140499999957</v>
      </c>
      <c r="N96" s="203">
        <v>4420.8239999999951</v>
      </c>
      <c r="O96" s="203">
        <v>4420.8239999999951</v>
      </c>
      <c r="P96" s="203">
        <v>5253.0254049999949</v>
      </c>
      <c r="Q96" s="204">
        <v>3.3721837606930669E-4</v>
      </c>
    </row>
    <row r="97" spans="1:17" x14ac:dyDescent="0.25">
      <c r="A97" s="192" t="s">
        <v>245</v>
      </c>
      <c r="B97" s="119" t="s">
        <v>170</v>
      </c>
      <c r="C97" s="202"/>
      <c r="D97" s="202">
        <v>7</v>
      </c>
      <c r="E97" s="202"/>
      <c r="F97" s="202">
        <v>29</v>
      </c>
      <c r="G97" s="203"/>
      <c r="H97" s="203">
        <v>96.227817000000002</v>
      </c>
      <c r="I97" s="203"/>
      <c r="J97" s="203"/>
      <c r="K97" s="203">
        <v>581.37750000000005</v>
      </c>
      <c r="L97" s="203"/>
      <c r="M97" s="203">
        <v>96.227817000000002</v>
      </c>
      <c r="N97" s="203">
        <v>581.37750000000005</v>
      </c>
      <c r="O97" s="203">
        <v>320.76000000000005</v>
      </c>
      <c r="P97" s="203">
        <v>416.98781700000006</v>
      </c>
      <c r="Q97" s="204">
        <v>2.6768565473828202E-5</v>
      </c>
    </row>
    <row r="98" spans="1:17" x14ac:dyDescent="0.25">
      <c r="A98" s="192" t="s">
        <v>308</v>
      </c>
      <c r="B98" s="119" t="s">
        <v>149</v>
      </c>
      <c r="C98" s="202"/>
      <c r="D98" s="202">
        <v>50</v>
      </c>
      <c r="E98" s="202"/>
      <c r="F98" s="202">
        <v>201</v>
      </c>
      <c r="G98" s="203"/>
      <c r="H98" s="203">
        <v>1047.1849010000012</v>
      </c>
      <c r="I98" s="203"/>
      <c r="J98" s="203"/>
      <c r="K98" s="203">
        <v>4119.0930000000044</v>
      </c>
      <c r="L98" s="203"/>
      <c r="M98" s="203">
        <v>1047.1849010000012</v>
      </c>
      <c r="N98" s="203">
        <v>4119.0930000000044</v>
      </c>
      <c r="O98" s="203">
        <v>1796.2560000000019</v>
      </c>
      <c r="P98" s="203">
        <v>2843.4409010000031</v>
      </c>
      <c r="Q98" s="204">
        <v>1.8253491067672997E-4</v>
      </c>
    </row>
    <row r="99" spans="1:17" x14ac:dyDescent="0.25">
      <c r="A99" s="192" t="s">
        <v>293</v>
      </c>
      <c r="B99" s="119" t="s">
        <v>91</v>
      </c>
      <c r="C99" s="202"/>
      <c r="D99" s="202">
        <v>96</v>
      </c>
      <c r="E99" s="202"/>
      <c r="F99" s="202">
        <v>458</v>
      </c>
      <c r="G99" s="203"/>
      <c r="H99" s="203">
        <v>1396.1796699999995</v>
      </c>
      <c r="I99" s="203"/>
      <c r="J99" s="203"/>
      <c r="K99" s="203">
        <v>10049.386500000001</v>
      </c>
      <c r="L99" s="203"/>
      <c r="M99" s="203">
        <v>1396.1796699999995</v>
      </c>
      <c r="N99" s="203">
        <v>10049.386500000001</v>
      </c>
      <c r="O99" s="203">
        <v>5956.0470167982849</v>
      </c>
      <c r="P99" s="203">
        <v>7352.2266867982844</v>
      </c>
      <c r="Q99" s="204">
        <v>4.7197676627561239E-4</v>
      </c>
    </row>
    <row r="100" spans="1:17" x14ac:dyDescent="0.25">
      <c r="A100" s="192" t="s">
        <v>288</v>
      </c>
      <c r="B100" s="119" t="s">
        <v>100</v>
      </c>
      <c r="C100" s="202">
        <v>52</v>
      </c>
      <c r="D100" s="202"/>
      <c r="E100" s="202">
        <v>443</v>
      </c>
      <c r="F100" s="202">
        <v>6</v>
      </c>
      <c r="G100" s="203">
        <v>5266.0741679999983</v>
      </c>
      <c r="H100" s="203"/>
      <c r="I100" s="203"/>
      <c r="J100" s="203">
        <v>12579.250000000002</v>
      </c>
      <c r="K100" s="203">
        <v>182.65500000000003</v>
      </c>
      <c r="L100" s="203">
        <v>12.5</v>
      </c>
      <c r="M100" s="203">
        <v>5266.0741679999983</v>
      </c>
      <c r="N100" s="203">
        <v>12774.405000000002</v>
      </c>
      <c r="O100" s="203">
        <v>12774.405000000002</v>
      </c>
      <c r="P100" s="203">
        <v>18040.479168000002</v>
      </c>
      <c r="Q100" s="204">
        <v>1.1581099689246836E-3</v>
      </c>
    </row>
    <row r="101" spans="1:17" x14ac:dyDescent="0.25">
      <c r="A101" s="192" t="s">
        <v>241</v>
      </c>
      <c r="B101" s="119" t="s">
        <v>134</v>
      </c>
      <c r="C101" s="202">
        <v>78</v>
      </c>
      <c r="D101" s="202">
        <v>37</v>
      </c>
      <c r="E101" s="202">
        <v>609</v>
      </c>
      <c r="F101" s="202">
        <v>125</v>
      </c>
      <c r="G101" s="203">
        <v>3660.2258400000069</v>
      </c>
      <c r="H101" s="203">
        <v>534.06398600000023</v>
      </c>
      <c r="I101" s="203">
        <v>72</v>
      </c>
      <c r="J101" s="203">
        <v>11509.690000000004</v>
      </c>
      <c r="K101" s="203">
        <v>2455.1504999999979</v>
      </c>
      <c r="L101" s="203">
        <v>106.5</v>
      </c>
      <c r="M101" s="203">
        <v>4266.2898260000075</v>
      </c>
      <c r="N101" s="203">
        <v>14071.340500000002</v>
      </c>
      <c r="O101" s="203">
        <v>14071.340500000002</v>
      </c>
      <c r="P101" s="203">
        <v>18337.63032600001</v>
      </c>
      <c r="Q101" s="204">
        <v>1.1771856107162689E-3</v>
      </c>
    </row>
    <row r="102" spans="1:17" x14ac:dyDescent="0.25">
      <c r="A102" s="192" t="s">
        <v>363</v>
      </c>
      <c r="B102" s="119" t="s">
        <v>36</v>
      </c>
      <c r="C102" s="202">
        <v>62</v>
      </c>
      <c r="D102" s="202">
        <v>37</v>
      </c>
      <c r="E102" s="202">
        <v>841</v>
      </c>
      <c r="F102" s="202">
        <v>172</v>
      </c>
      <c r="G102" s="203">
        <v>5600.577959999996</v>
      </c>
      <c r="H102" s="203">
        <v>585.44532000000004</v>
      </c>
      <c r="I102" s="203">
        <v>432</v>
      </c>
      <c r="J102" s="203">
        <v>19219.249999999985</v>
      </c>
      <c r="K102" s="203">
        <v>4714.7427000000007</v>
      </c>
      <c r="L102" s="203">
        <v>1408</v>
      </c>
      <c r="M102" s="203">
        <v>6618.0232799999958</v>
      </c>
      <c r="N102" s="203">
        <v>25341.992699999988</v>
      </c>
      <c r="O102" s="203">
        <v>25341.992699999988</v>
      </c>
      <c r="P102" s="203">
        <v>31960.015979999982</v>
      </c>
      <c r="Q102" s="204">
        <v>2.0516757215120868E-3</v>
      </c>
    </row>
    <row r="103" spans="1:17" x14ac:dyDescent="0.25">
      <c r="A103" s="192" t="s">
        <v>353</v>
      </c>
      <c r="B103" s="119" t="s">
        <v>48</v>
      </c>
      <c r="C103" s="202">
        <v>67</v>
      </c>
      <c r="D103" s="202"/>
      <c r="E103" s="202">
        <v>759</v>
      </c>
      <c r="F103" s="202"/>
      <c r="G103" s="203">
        <v>4459.712022000007</v>
      </c>
      <c r="H103" s="203"/>
      <c r="I103" s="203">
        <v>360</v>
      </c>
      <c r="J103" s="203">
        <v>12405.639999999998</v>
      </c>
      <c r="K103" s="203"/>
      <c r="L103" s="203">
        <v>957</v>
      </c>
      <c r="M103" s="203">
        <v>4819.712022000007</v>
      </c>
      <c r="N103" s="203">
        <v>13362.639999999998</v>
      </c>
      <c r="O103" s="203">
        <v>13362.639999999998</v>
      </c>
      <c r="P103" s="203">
        <v>18182.352022000006</v>
      </c>
      <c r="Q103" s="204">
        <v>1.1672175078657027E-3</v>
      </c>
    </row>
    <row r="104" spans="1:17" x14ac:dyDescent="0.25">
      <c r="A104" s="192" t="s">
        <v>275</v>
      </c>
      <c r="B104" s="119" t="s">
        <v>109</v>
      </c>
      <c r="C104" s="202">
        <v>804</v>
      </c>
      <c r="D104" s="202">
        <v>268</v>
      </c>
      <c r="E104" s="202">
        <v>8555</v>
      </c>
      <c r="F104" s="202">
        <v>1020</v>
      </c>
      <c r="G104" s="203">
        <v>52533.015156000474</v>
      </c>
      <c r="H104" s="203">
        <v>4181.627884999999</v>
      </c>
      <c r="I104" s="203">
        <v>1944</v>
      </c>
      <c r="J104" s="203">
        <v>182202.23000000062</v>
      </c>
      <c r="K104" s="203">
        <v>23301.391500000023</v>
      </c>
      <c r="L104" s="203">
        <v>6924.9900000000007</v>
      </c>
      <c r="M104" s="203">
        <v>58658.643041000476</v>
      </c>
      <c r="N104" s="203">
        <v>212428.61150000064</v>
      </c>
      <c r="O104" s="203">
        <v>212428.61150000064</v>
      </c>
      <c r="P104" s="203">
        <v>271087.25454100111</v>
      </c>
      <c r="Q104" s="204">
        <v>1.7402467473770628E-2</v>
      </c>
    </row>
    <row r="105" spans="1:17" x14ac:dyDescent="0.25">
      <c r="A105" s="192" t="s">
        <v>258</v>
      </c>
      <c r="B105" s="119" t="s">
        <v>121</v>
      </c>
      <c r="C105" s="202">
        <v>153</v>
      </c>
      <c r="D105" s="202">
        <v>54</v>
      </c>
      <c r="E105" s="202">
        <v>1929</v>
      </c>
      <c r="F105" s="202">
        <v>132</v>
      </c>
      <c r="G105" s="203">
        <v>9943.1938439999813</v>
      </c>
      <c r="H105" s="203">
        <v>500.01359699999966</v>
      </c>
      <c r="I105" s="203">
        <v>432</v>
      </c>
      <c r="J105" s="203">
        <v>36727.73000000001</v>
      </c>
      <c r="K105" s="203">
        <v>2818.6244999999994</v>
      </c>
      <c r="L105" s="203">
        <v>1453.5</v>
      </c>
      <c r="M105" s="203">
        <v>10875.20744099998</v>
      </c>
      <c r="N105" s="203">
        <v>40999.854500000009</v>
      </c>
      <c r="O105" s="203">
        <v>40999.854500000009</v>
      </c>
      <c r="P105" s="203">
        <v>51875.061940999993</v>
      </c>
      <c r="Q105" s="204">
        <v>3.3301236520935371E-3</v>
      </c>
    </row>
    <row r="106" spans="1:17" x14ac:dyDescent="0.25">
      <c r="A106" s="192" t="s">
        <v>256</v>
      </c>
      <c r="B106" s="119" t="s">
        <v>123</v>
      </c>
      <c r="C106" s="202">
        <v>476</v>
      </c>
      <c r="D106" s="202">
        <v>168</v>
      </c>
      <c r="E106" s="202">
        <v>4329</v>
      </c>
      <c r="F106" s="202">
        <v>611</v>
      </c>
      <c r="G106" s="203">
        <v>29867.36792400018</v>
      </c>
      <c r="H106" s="203">
        <v>2266.1217480000005</v>
      </c>
      <c r="I106" s="203">
        <v>2304</v>
      </c>
      <c r="J106" s="203">
        <v>81469.2300000002</v>
      </c>
      <c r="K106" s="203">
        <v>13880.975400000028</v>
      </c>
      <c r="L106" s="203">
        <v>3973</v>
      </c>
      <c r="M106" s="203">
        <v>34437.489672000185</v>
      </c>
      <c r="N106" s="203">
        <v>99323.205400000224</v>
      </c>
      <c r="O106" s="203">
        <v>99323.205400000224</v>
      </c>
      <c r="P106" s="203">
        <v>133760.69507200041</v>
      </c>
      <c r="Q106" s="204">
        <v>8.5867782651779766E-3</v>
      </c>
    </row>
    <row r="107" spans="1:17" x14ac:dyDescent="0.25">
      <c r="A107" s="192" t="s">
        <v>297</v>
      </c>
      <c r="B107" s="119" t="s">
        <v>530</v>
      </c>
      <c r="C107" s="202">
        <v>2076</v>
      </c>
      <c r="D107" s="202">
        <v>558</v>
      </c>
      <c r="E107" s="202">
        <v>20365</v>
      </c>
      <c r="F107" s="202">
        <v>2327</v>
      </c>
      <c r="G107" s="203">
        <v>127707.84025200081</v>
      </c>
      <c r="H107" s="203">
        <v>7305.0697490000166</v>
      </c>
      <c r="I107" s="203">
        <v>10332</v>
      </c>
      <c r="J107" s="203">
        <v>371376.97000000015</v>
      </c>
      <c r="K107" s="203">
        <v>46987.797600005128</v>
      </c>
      <c r="L107" s="203">
        <v>23523.75</v>
      </c>
      <c r="M107" s="203">
        <v>145344.91000100083</v>
      </c>
      <c r="N107" s="203">
        <v>441888.51760000526</v>
      </c>
      <c r="O107" s="203">
        <v>441888.51760000526</v>
      </c>
      <c r="P107" s="203">
        <v>587233.42760100611</v>
      </c>
      <c r="Q107" s="204">
        <v>3.7697495740404527E-2</v>
      </c>
    </row>
    <row r="108" spans="1:17" x14ac:dyDescent="0.25">
      <c r="A108" s="192" t="s">
        <v>329</v>
      </c>
      <c r="B108" s="119" t="s">
        <v>68</v>
      </c>
      <c r="C108" s="202">
        <v>1674</v>
      </c>
      <c r="D108" s="202">
        <v>762</v>
      </c>
      <c r="E108" s="202">
        <v>16459</v>
      </c>
      <c r="F108" s="202">
        <v>2488</v>
      </c>
      <c r="G108" s="203">
        <v>96812.864657997343</v>
      </c>
      <c r="H108" s="203">
        <v>9503.6252029998941</v>
      </c>
      <c r="I108" s="203">
        <v>6732</v>
      </c>
      <c r="J108" s="203">
        <v>302767.90999999898</v>
      </c>
      <c r="K108" s="203">
        <v>61889.843185718812</v>
      </c>
      <c r="L108" s="203">
        <v>15656.95</v>
      </c>
      <c r="M108" s="203">
        <v>113048.48986099724</v>
      </c>
      <c r="N108" s="203">
        <v>380314.70318571781</v>
      </c>
      <c r="O108" s="203">
        <v>380314.70318571781</v>
      </c>
      <c r="P108" s="203">
        <v>493363.19304671505</v>
      </c>
      <c r="Q108" s="204">
        <v>3.1671488703105044E-2</v>
      </c>
    </row>
    <row r="109" spans="1:17" x14ac:dyDescent="0.25">
      <c r="A109" s="192" t="s">
        <v>268</v>
      </c>
      <c r="B109" s="119" t="s">
        <v>114</v>
      </c>
      <c r="C109" s="202">
        <v>1345</v>
      </c>
      <c r="D109" s="202">
        <v>628</v>
      </c>
      <c r="E109" s="202">
        <v>12674</v>
      </c>
      <c r="F109" s="202">
        <v>2519</v>
      </c>
      <c r="G109" s="203">
        <v>80541.082313998922</v>
      </c>
      <c r="H109" s="203">
        <v>8988.4600029999783</v>
      </c>
      <c r="I109" s="203">
        <v>6192</v>
      </c>
      <c r="J109" s="203">
        <v>246859.56999999844</v>
      </c>
      <c r="K109" s="203">
        <v>56828.317499999859</v>
      </c>
      <c r="L109" s="203">
        <v>15272.75</v>
      </c>
      <c r="M109" s="203">
        <v>95721.542316998908</v>
      </c>
      <c r="N109" s="203">
        <v>318960.63749999832</v>
      </c>
      <c r="O109" s="203">
        <v>318960.63749999832</v>
      </c>
      <c r="P109" s="203">
        <v>414682.17981699726</v>
      </c>
      <c r="Q109" s="204">
        <v>2.662055491482402E-2</v>
      </c>
    </row>
    <row r="110" spans="1:17" x14ac:dyDescent="0.25">
      <c r="A110" s="192" t="s">
        <v>248</v>
      </c>
      <c r="B110" s="119" t="s">
        <v>169</v>
      </c>
      <c r="C110" s="202"/>
      <c r="D110" s="202">
        <v>55</v>
      </c>
      <c r="E110" s="202"/>
      <c r="F110" s="202">
        <v>260</v>
      </c>
      <c r="G110" s="203"/>
      <c r="H110" s="203">
        <v>842.59054000000015</v>
      </c>
      <c r="I110" s="203"/>
      <c r="J110" s="203"/>
      <c r="K110" s="203">
        <v>4414.7268000000013</v>
      </c>
      <c r="L110" s="203"/>
      <c r="M110" s="203">
        <v>842.59054000000015</v>
      </c>
      <c r="N110" s="203">
        <v>4414.7268000000013</v>
      </c>
      <c r="O110" s="203">
        <v>2245.3200000000011</v>
      </c>
      <c r="P110" s="203">
        <v>3087.9105400000012</v>
      </c>
      <c r="Q110" s="204">
        <v>1.9822865824234431E-4</v>
      </c>
    </row>
    <row r="111" spans="1:17" x14ac:dyDescent="0.25">
      <c r="A111" s="192" t="s">
        <v>377</v>
      </c>
      <c r="B111" s="119" t="s">
        <v>26</v>
      </c>
      <c r="C111" s="202">
        <v>938</v>
      </c>
      <c r="D111" s="202">
        <v>242</v>
      </c>
      <c r="E111" s="202">
        <v>9163</v>
      </c>
      <c r="F111" s="202">
        <v>957</v>
      </c>
      <c r="G111" s="203">
        <v>54028.909493998995</v>
      </c>
      <c r="H111" s="203">
        <v>3273.9311650000081</v>
      </c>
      <c r="I111" s="203">
        <v>4032</v>
      </c>
      <c r="J111" s="203">
        <v>163945.81499999997</v>
      </c>
      <c r="K111" s="203">
        <v>19199.657185718857</v>
      </c>
      <c r="L111" s="203">
        <v>10309</v>
      </c>
      <c r="M111" s="203">
        <v>61334.840658999005</v>
      </c>
      <c r="N111" s="203">
        <v>193454.47218571883</v>
      </c>
      <c r="O111" s="203">
        <v>193454.47218571883</v>
      </c>
      <c r="P111" s="203">
        <v>254789.31284471782</v>
      </c>
      <c r="Q111" s="204">
        <v>1.6356219833913097E-2</v>
      </c>
    </row>
    <row r="112" spans="1:17" x14ac:dyDescent="0.25">
      <c r="A112" s="192" t="s">
        <v>231</v>
      </c>
      <c r="B112" s="119" t="s">
        <v>139</v>
      </c>
      <c r="C112" s="202">
        <v>28</v>
      </c>
      <c r="D112" s="202">
        <v>11</v>
      </c>
      <c r="E112" s="202">
        <v>253</v>
      </c>
      <c r="F112" s="202">
        <v>21</v>
      </c>
      <c r="G112" s="203">
        <v>2655.9346320000004</v>
      </c>
      <c r="H112" s="203">
        <v>163.58749</v>
      </c>
      <c r="I112" s="203"/>
      <c r="J112" s="203">
        <v>5914.4000000000024</v>
      </c>
      <c r="K112" s="203">
        <v>522.57150000000001</v>
      </c>
      <c r="L112" s="203">
        <v>23</v>
      </c>
      <c r="M112" s="203">
        <v>2819.5221220000003</v>
      </c>
      <c r="N112" s="203">
        <v>6459.9715000000024</v>
      </c>
      <c r="O112" s="203">
        <v>6459.9715000000024</v>
      </c>
      <c r="P112" s="203">
        <v>9279.4936220000018</v>
      </c>
      <c r="Q112" s="204">
        <v>5.9569781767623733E-4</v>
      </c>
    </row>
    <row r="113" spans="1:17" x14ac:dyDescent="0.25">
      <c r="A113" s="192" t="s">
        <v>368</v>
      </c>
      <c r="B113" s="119" t="s">
        <v>31</v>
      </c>
      <c r="C113" s="202">
        <v>46</v>
      </c>
      <c r="D113" s="202">
        <v>9</v>
      </c>
      <c r="E113" s="202">
        <v>584</v>
      </c>
      <c r="F113" s="202">
        <v>30</v>
      </c>
      <c r="G113" s="203">
        <v>3459.7775880000027</v>
      </c>
      <c r="H113" s="203">
        <v>139.88052000000002</v>
      </c>
      <c r="I113" s="203">
        <v>144</v>
      </c>
      <c r="J113" s="203">
        <v>14333.050000000001</v>
      </c>
      <c r="K113" s="203">
        <v>684.12600000000054</v>
      </c>
      <c r="L113" s="203">
        <v>621</v>
      </c>
      <c r="M113" s="203">
        <v>3743.6581080000028</v>
      </c>
      <c r="N113" s="203">
        <v>15638.176000000001</v>
      </c>
      <c r="O113" s="203">
        <v>15638.176000000001</v>
      </c>
      <c r="P113" s="203">
        <v>19381.834108000003</v>
      </c>
      <c r="Q113" s="204">
        <v>1.2442183540409637E-3</v>
      </c>
    </row>
    <row r="114" spans="1:17" x14ac:dyDescent="0.25">
      <c r="A114" s="192" t="s">
        <v>247</v>
      </c>
      <c r="B114" s="119" t="s">
        <v>129</v>
      </c>
      <c r="C114" s="202">
        <v>12</v>
      </c>
      <c r="D114" s="202"/>
      <c r="E114" s="202">
        <v>192</v>
      </c>
      <c r="F114" s="202"/>
      <c r="G114" s="203">
        <v>320.75924399999997</v>
      </c>
      <c r="H114" s="203"/>
      <c r="I114" s="203"/>
      <c r="J114" s="203">
        <v>5038.9999999999982</v>
      </c>
      <c r="K114" s="203"/>
      <c r="L114" s="203"/>
      <c r="M114" s="203">
        <v>320.75924399999997</v>
      </c>
      <c r="N114" s="203">
        <v>5038.9999999999982</v>
      </c>
      <c r="O114" s="203">
        <v>5038.9999999999982</v>
      </c>
      <c r="P114" s="203">
        <v>5359.759243999998</v>
      </c>
      <c r="Q114" s="204">
        <v>3.4407016319848471E-4</v>
      </c>
    </row>
    <row r="115" spans="1:17" x14ac:dyDescent="0.25">
      <c r="A115" s="192" t="s">
        <v>354</v>
      </c>
      <c r="B115" s="119" t="s">
        <v>47</v>
      </c>
      <c r="C115" s="202">
        <v>46</v>
      </c>
      <c r="D115" s="202">
        <v>68</v>
      </c>
      <c r="E115" s="202">
        <v>484</v>
      </c>
      <c r="F115" s="202">
        <v>316</v>
      </c>
      <c r="G115" s="203">
        <v>2100.5315639999994</v>
      </c>
      <c r="H115" s="203">
        <v>1125.4826879999991</v>
      </c>
      <c r="I115" s="203">
        <v>288</v>
      </c>
      <c r="J115" s="203">
        <v>9242.5599999999868</v>
      </c>
      <c r="K115" s="203">
        <v>5645.3760000000029</v>
      </c>
      <c r="L115" s="203">
        <v>971.5</v>
      </c>
      <c r="M115" s="203">
        <v>3514.0142519999986</v>
      </c>
      <c r="N115" s="203">
        <v>15859.435999999991</v>
      </c>
      <c r="O115" s="203">
        <v>15859.435999999991</v>
      </c>
      <c r="P115" s="203">
        <v>19373.450251999988</v>
      </c>
      <c r="Q115" s="204">
        <v>1.2436801517503688E-3</v>
      </c>
    </row>
    <row r="116" spans="1:17" x14ac:dyDescent="0.25">
      <c r="A116" s="192" t="s">
        <v>350</v>
      </c>
      <c r="B116" s="119" t="s">
        <v>45</v>
      </c>
      <c r="C116" s="202"/>
      <c r="D116" s="202">
        <v>101</v>
      </c>
      <c r="E116" s="202"/>
      <c r="F116" s="202">
        <v>374</v>
      </c>
      <c r="G116" s="203"/>
      <c r="H116" s="203">
        <v>1238.4913449999972</v>
      </c>
      <c r="I116" s="203"/>
      <c r="J116" s="203"/>
      <c r="K116" s="203">
        <v>7893.8819999999905</v>
      </c>
      <c r="L116" s="203"/>
      <c r="M116" s="203">
        <v>1238.4913449999972</v>
      </c>
      <c r="N116" s="203">
        <v>7893.8819999999905</v>
      </c>
      <c r="O116" s="203">
        <v>7133.1761516587603</v>
      </c>
      <c r="P116" s="203">
        <v>8371.667496658758</v>
      </c>
      <c r="Q116" s="204">
        <v>5.3741984867013354E-4</v>
      </c>
    </row>
    <row r="117" spans="1:17" x14ac:dyDescent="0.25">
      <c r="A117" s="192" t="s">
        <v>257</v>
      </c>
      <c r="B117" s="119" t="s">
        <v>122</v>
      </c>
      <c r="C117" s="202">
        <v>263</v>
      </c>
      <c r="D117" s="202">
        <v>17</v>
      </c>
      <c r="E117" s="202">
        <v>3538</v>
      </c>
      <c r="F117" s="202">
        <v>57</v>
      </c>
      <c r="G117" s="203">
        <v>17322.385247999966</v>
      </c>
      <c r="H117" s="203">
        <v>288.87831000000006</v>
      </c>
      <c r="I117" s="203">
        <v>288</v>
      </c>
      <c r="J117" s="203">
        <v>49701.510000000111</v>
      </c>
      <c r="K117" s="203">
        <v>1089.7740000000006</v>
      </c>
      <c r="L117" s="203">
        <v>1734.5</v>
      </c>
      <c r="M117" s="203">
        <v>17899.263557999966</v>
      </c>
      <c r="N117" s="203">
        <v>52525.784000000109</v>
      </c>
      <c r="O117" s="203">
        <v>52525.784000000109</v>
      </c>
      <c r="P117" s="203">
        <v>70425.047558000078</v>
      </c>
      <c r="Q117" s="204">
        <v>4.5209414272978383E-3</v>
      </c>
    </row>
    <row r="118" spans="1:17" x14ac:dyDescent="0.25">
      <c r="A118" s="192" t="s">
        <v>367</v>
      </c>
      <c r="B118" s="119" t="s">
        <v>162</v>
      </c>
      <c r="C118" s="202"/>
      <c r="D118" s="202">
        <v>19</v>
      </c>
      <c r="E118" s="202"/>
      <c r="F118" s="202">
        <v>41</v>
      </c>
      <c r="G118" s="203"/>
      <c r="H118" s="203">
        <v>179.54941100000002</v>
      </c>
      <c r="I118" s="203"/>
      <c r="J118" s="203"/>
      <c r="K118" s="203">
        <v>1304.0999999999997</v>
      </c>
      <c r="L118" s="203"/>
      <c r="M118" s="203">
        <v>179.54941100000002</v>
      </c>
      <c r="N118" s="203">
        <v>1304.0999999999997</v>
      </c>
      <c r="O118" s="203">
        <v>1134.0000000000005</v>
      </c>
      <c r="P118" s="203">
        <v>1313.5494110000004</v>
      </c>
      <c r="Q118" s="204">
        <v>8.4323407010862322E-5</v>
      </c>
    </row>
    <row r="119" spans="1:17" x14ac:dyDescent="0.25">
      <c r="A119" s="192" t="s">
        <v>348</v>
      </c>
      <c r="B119" s="119" t="s">
        <v>49</v>
      </c>
      <c r="C119" s="202">
        <v>223</v>
      </c>
      <c r="D119" s="202">
        <v>68</v>
      </c>
      <c r="E119" s="202">
        <v>2292</v>
      </c>
      <c r="F119" s="202">
        <v>172</v>
      </c>
      <c r="G119" s="203">
        <v>14290.679268000007</v>
      </c>
      <c r="H119" s="203">
        <v>847.23867099999961</v>
      </c>
      <c r="I119" s="203">
        <v>540</v>
      </c>
      <c r="J119" s="203">
        <v>44738.270000000055</v>
      </c>
      <c r="K119" s="203">
        <v>4433.6835000000001</v>
      </c>
      <c r="L119" s="203">
        <v>1380.5</v>
      </c>
      <c r="M119" s="203">
        <v>15677.917939000006</v>
      </c>
      <c r="N119" s="203">
        <v>50552.453500000054</v>
      </c>
      <c r="O119" s="203">
        <v>50552.453500000054</v>
      </c>
      <c r="P119" s="203">
        <v>66230.371439000068</v>
      </c>
      <c r="Q119" s="204">
        <v>4.2516638662870917E-3</v>
      </c>
    </row>
    <row r="120" spans="1:17" x14ac:dyDescent="0.25">
      <c r="A120" s="192" t="s">
        <v>269</v>
      </c>
      <c r="B120" s="119" t="s">
        <v>113</v>
      </c>
      <c r="C120" s="202">
        <v>1624</v>
      </c>
      <c r="D120" s="202">
        <v>746</v>
      </c>
      <c r="E120" s="202">
        <v>15580</v>
      </c>
      <c r="F120" s="202">
        <v>2883</v>
      </c>
      <c r="G120" s="203">
        <v>87314.635368000309</v>
      </c>
      <c r="H120" s="203">
        <v>9529.175113000023</v>
      </c>
      <c r="I120" s="203">
        <v>7596</v>
      </c>
      <c r="J120" s="203">
        <v>288656.68999999814</v>
      </c>
      <c r="K120" s="203">
        <v>63322.701557194021</v>
      </c>
      <c r="L120" s="203">
        <v>18395.75</v>
      </c>
      <c r="M120" s="203">
        <v>104439.81048100033</v>
      </c>
      <c r="N120" s="203">
        <v>370375.14155719214</v>
      </c>
      <c r="O120" s="203">
        <v>370375.14155719214</v>
      </c>
      <c r="P120" s="203">
        <v>474814.95203819248</v>
      </c>
      <c r="Q120" s="204">
        <v>3.0480782923178185E-2</v>
      </c>
    </row>
    <row r="121" spans="1:17" x14ac:dyDescent="0.25">
      <c r="A121" s="192" t="s">
        <v>333</v>
      </c>
      <c r="B121" s="119" t="s">
        <v>147</v>
      </c>
      <c r="C121" s="202"/>
      <c r="D121" s="202">
        <v>20</v>
      </c>
      <c r="E121" s="202"/>
      <c r="F121" s="202">
        <v>40</v>
      </c>
      <c r="G121" s="203"/>
      <c r="H121" s="203">
        <v>221.32439999999988</v>
      </c>
      <c r="I121" s="203"/>
      <c r="J121" s="203"/>
      <c r="K121" s="203">
        <v>1603.8000000000002</v>
      </c>
      <c r="L121" s="203"/>
      <c r="M121" s="203">
        <v>221.32439999999988</v>
      </c>
      <c r="N121" s="203">
        <v>1603.8000000000002</v>
      </c>
      <c r="O121" s="203">
        <v>1603.8000000000002</v>
      </c>
      <c r="P121" s="203">
        <v>1825.1244000000002</v>
      </c>
      <c r="Q121" s="204">
        <v>1.1716400337730109E-4</v>
      </c>
    </row>
    <row r="122" spans="1:17" x14ac:dyDescent="0.25">
      <c r="A122" s="192" t="s">
        <v>325</v>
      </c>
      <c r="B122" s="119" t="s">
        <v>525</v>
      </c>
      <c r="C122" s="202">
        <v>19</v>
      </c>
      <c r="D122" s="202"/>
      <c r="E122" s="202">
        <v>217</v>
      </c>
      <c r="F122" s="202"/>
      <c r="G122" s="203">
        <v>1917.5389739999996</v>
      </c>
      <c r="H122" s="203"/>
      <c r="I122" s="203"/>
      <c r="J122" s="203">
        <v>4876.5200000000004</v>
      </c>
      <c r="K122" s="203"/>
      <c r="L122" s="203">
        <v>5</v>
      </c>
      <c r="M122" s="203">
        <v>1917.5389739999996</v>
      </c>
      <c r="N122" s="203">
        <v>4881.5200000000004</v>
      </c>
      <c r="O122" s="203">
        <v>4881.5200000000004</v>
      </c>
      <c r="P122" s="203">
        <v>6799.0589739999996</v>
      </c>
      <c r="Q122" s="204">
        <v>4.3646612175707317E-4</v>
      </c>
    </row>
    <row r="123" spans="1:17" x14ac:dyDescent="0.25">
      <c r="A123" s="192" t="s">
        <v>330</v>
      </c>
      <c r="B123" s="119" t="s">
        <v>67</v>
      </c>
      <c r="C123" s="202">
        <v>590</v>
      </c>
      <c r="D123" s="202">
        <v>154</v>
      </c>
      <c r="E123" s="202">
        <v>6544</v>
      </c>
      <c r="F123" s="202">
        <v>723</v>
      </c>
      <c r="G123" s="203">
        <v>37550.452373999979</v>
      </c>
      <c r="H123" s="203">
        <v>2282.1072960000047</v>
      </c>
      <c r="I123" s="203">
        <v>4176</v>
      </c>
      <c r="J123" s="203">
        <v>122987.33999999992</v>
      </c>
      <c r="K123" s="203">
        <v>14632.366500000004</v>
      </c>
      <c r="L123" s="203">
        <v>13129.25</v>
      </c>
      <c r="M123" s="203">
        <v>44008.559669999981</v>
      </c>
      <c r="N123" s="203">
        <v>150748.95649999991</v>
      </c>
      <c r="O123" s="203">
        <v>150748.95649999991</v>
      </c>
      <c r="P123" s="203">
        <v>194757.5161699999</v>
      </c>
      <c r="Q123" s="204">
        <v>1.2502473958649963E-2</v>
      </c>
    </row>
    <row r="124" spans="1:17" x14ac:dyDescent="0.25">
      <c r="A124" s="192" t="s">
        <v>381</v>
      </c>
      <c r="B124" s="119" t="s">
        <v>23</v>
      </c>
      <c r="C124" s="202">
        <v>454</v>
      </c>
      <c r="D124" s="202">
        <v>161</v>
      </c>
      <c r="E124" s="202">
        <v>4535</v>
      </c>
      <c r="F124" s="202">
        <v>633</v>
      </c>
      <c r="G124" s="203">
        <v>25534.883880000136</v>
      </c>
      <c r="H124" s="203">
        <v>2010.4222339999976</v>
      </c>
      <c r="I124" s="203">
        <v>1764</v>
      </c>
      <c r="J124" s="203">
        <v>92921.080000000293</v>
      </c>
      <c r="K124" s="203">
        <v>15451.586999999985</v>
      </c>
      <c r="L124" s="203">
        <v>4967.5</v>
      </c>
      <c r="M124" s="203">
        <v>29309.306114000134</v>
      </c>
      <c r="N124" s="203">
        <v>113340.16700000028</v>
      </c>
      <c r="O124" s="203">
        <v>113340.16700000028</v>
      </c>
      <c r="P124" s="203">
        <v>142649.4731140004</v>
      </c>
      <c r="Q124" s="204">
        <v>9.1573940656861311E-3</v>
      </c>
    </row>
    <row r="125" spans="1:17" x14ac:dyDescent="0.25">
      <c r="A125" s="192" t="s">
        <v>339</v>
      </c>
      <c r="B125" s="119" t="s">
        <v>57</v>
      </c>
      <c r="C125" s="202">
        <v>671</v>
      </c>
      <c r="D125" s="202">
        <v>281</v>
      </c>
      <c r="E125" s="202">
        <v>6523</v>
      </c>
      <c r="F125" s="202">
        <v>1109</v>
      </c>
      <c r="G125" s="203">
        <v>39300.85056600003</v>
      </c>
      <c r="H125" s="203">
        <v>3467.3331350000003</v>
      </c>
      <c r="I125" s="203">
        <v>1188</v>
      </c>
      <c r="J125" s="203">
        <v>129333.37000000018</v>
      </c>
      <c r="K125" s="203">
        <v>24131.150099994655</v>
      </c>
      <c r="L125" s="203">
        <v>4125</v>
      </c>
      <c r="M125" s="203">
        <v>43956.183701000031</v>
      </c>
      <c r="N125" s="203">
        <v>157589.52009999484</v>
      </c>
      <c r="O125" s="203">
        <v>157589.52009999484</v>
      </c>
      <c r="P125" s="203">
        <v>201545.70380099487</v>
      </c>
      <c r="Q125" s="204">
        <v>1.2938242193693912E-2</v>
      </c>
    </row>
    <row r="126" spans="1:17" x14ac:dyDescent="0.25">
      <c r="A126" s="192" t="s">
        <v>365</v>
      </c>
      <c r="B126" s="119" t="s">
        <v>34</v>
      </c>
      <c r="C126" s="202">
        <v>684</v>
      </c>
      <c r="D126" s="202">
        <v>149</v>
      </c>
      <c r="E126" s="202">
        <v>7884</v>
      </c>
      <c r="F126" s="202">
        <v>441</v>
      </c>
      <c r="G126" s="203">
        <v>32827.408614000313</v>
      </c>
      <c r="H126" s="203">
        <v>1353.0942369999975</v>
      </c>
      <c r="I126" s="203">
        <v>792</v>
      </c>
      <c r="J126" s="203">
        <v>94293.350000000239</v>
      </c>
      <c r="K126" s="203">
        <v>9613.1070000000145</v>
      </c>
      <c r="L126" s="203">
        <v>2717</v>
      </c>
      <c r="M126" s="203">
        <v>34972.50285100031</v>
      </c>
      <c r="N126" s="203">
        <v>106623.45700000026</v>
      </c>
      <c r="O126" s="203">
        <v>106623.45700000026</v>
      </c>
      <c r="P126" s="203">
        <v>141595.95985100057</v>
      </c>
      <c r="Q126" s="204">
        <v>9.0897636995016986E-3</v>
      </c>
    </row>
    <row r="127" spans="1:17" x14ac:dyDescent="0.25">
      <c r="A127" s="192" t="s">
        <v>379</v>
      </c>
      <c r="B127" s="119" t="s">
        <v>24</v>
      </c>
      <c r="C127" s="202"/>
      <c r="D127" s="202">
        <v>31</v>
      </c>
      <c r="E127" s="202"/>
      <c r="F127" s="202">
        <v>92</v>
      </c>
      <c r="G127" s="203"/>
      <c r="H127" s="203">
        <v>394.63099999999991</v>
      </c>
      <c r="I127" s="203"/>
      <c r="J127" s="203"/>
      <c r="K127" s="203">
        <v>1738.8000000000009</v>
      </c>
      <c r="L127" s="203"/>
      <c r="M127" s="203">
        <v>394.63099999999991</v>
      </c>
      <c r="N127" s="203">
        <v>1738.8000000000009</v>
      </c>
      <c r="O127" s="203">
        <v>453.60000000000025</v>
      </c>
      <c r="P127" s="203">
        <v>848.23100000000022</v>
      </c>
      <c r="Q127" s="204">
        <v>5.4452255281191517E-5</v>
      </c>
    </row>
    <row r="128" spans="1:17" x14ac:dyDescent="0.25">
      <c r="A128" s="192" t="s">
        <v>309</v>
      </c>
      <c r="B128" s="119" t="s">
        <v>82</v>
      </c>
      <c r="C128" s="202">
        <v>1191</v>
      </c>
      <c r="D128" s="202">
        <v>556</v>
      </c>
      <c r="E128" s="202">
        <v>11267</v>
      </c>
      <c r="F128" s="202">
        <v>2125</v>
      </c>
      <c r="G128" s="203">
        <v>75043.981763999574</v>
      </c>
      <c r="H128" s="203">
        <v>7085.4234849999975</v>
      </c>
      <c r="I128" s="203">
        <v>6768</v>
      </c>
      <c r="J128" s="203">
        <v>221617.18999999904</v>
      </c>
      <c r="K128" s="203">
        <v>45268.078114113072</v>
      </c>
      <c r="L128" s="203">
        <v>16755</v>
      </c>
      <c r="M128" s="203">
        <v>88897.405248999567</v>
      </c>
      <c r="N128" s="203">
        <v>283640.26811411208</v>
      </c>
      <c r="O128" s="203">
        <v>283640.26811411208</v>
      </c>
      <c r="P128" s="203">
        <v>372537.67336311168</v>
      </c>
      <c r="Q128" s="204">
        <v>2.3915085032060007E-2</v>
      </c>
    </row>
    <row r="129" spans="1:17" x14ac:dyDescent="0.25">
      <c r="A129" s="192" t="s">
        <v>375</v>
      </c>
      <c r="B129" s="119" t="s">
        <v>27</v>
      </c>
      <c r="C129" s="202">
        <v>771</v>
      </c>
      <c r="D129" s="202">
        <v>170</v>
      </c>
      <c r="E129" s="202">
        <v>7244</v>
      </c>
      <c r="F129" s="202">
        <v>703</v>
      </c>
      <c r="G129" s="203">
        <v>50459.946228000925</v>
      </c>
      <c r="H129" s="203">
        <v>2310.1229909999952</v>
      </c>
      <c r="I129" s="203">
        <v>3888</v>
      </c>
      <c r="J129" s="203">
        <v>152987.76999999981</v>
      </c>
      <c r="K129" s="203">
        <v>14081.588099999979</v>
      </c>
      <c r="L129" s="203">
        <v>10676.5</v>
      </c>
      <c r="M129" s="203">
        <v>56658.069219000921</v>
      </c>
      <c r="N129" s="203">
        <v>177745.85809999978</v>
      </c>
      <c r="O129" s="203">
        <v>177745.85809999978</v>
      </c>
      <c r="P129" s="203">
        <v>234403.92731900071</v>
      </c>
      <c r="Q129" s="204">
        <v>1.5047578418247016E-2</v>
      </c>
    </row>
    <row r="130" spans="1:17" x14ac:dyDescent="0.25">
      <c r="A130" s="192" t="s">
        <v>360</v>
      </c>
      <c r="B130" s="119" t="s">
        <v>37</v>
      </c>
      <c r="C130" s="202">
        <v>946</v>
      </c>
      <c r="D130" s="202">
        <v>370</v>
      </c>
      <c r="E130" s="202">
        <v>9367</v>
      </c>
      <c r="F130" s="202">
        <v>1827</v>
      </c>
      <c r="G130" s="203">
        <v>52839.966149999207</v>
      </c>
      <c r="H130" s="203">
        <v>5420.1849759999441</v>
      </c>
      <c r="I130" s="203">
        <v>4032</v>
      </c>
      <c r="J130" s="203">
        <v>177520.37999999948</v>
      </c>
      <c r="K130" s="203">
        <v>36068.957099999789</v>
      </c>
      <c r="L130" s="203">
        <v>12524.25</v>
      </c>
      <c r="M130" s="203">
        <v>62292.151125999153</v>
      </c>
      <c r="N130" s="203">
        <v>226113.58709999928</v>
      </c>
      <c r="O130" s="203">
        <v>226113.58709999928</v>
      </c>
      <c r="P130" s="203">
        <v>288405.73822599842</v>
      </c>
      <c r="Q130" s="204">
        <v>1.8514228886285171E-2</v>
      </c>
    </row>
    <row r="131" spans="1:17" x14ac:dyDescent="0.25">
      <c r="A131" s="192" t="s">
        <v>372</v>
      </c>
      <c r="B131" s="119" t="s">
        <v>29</v>
      </c>
      <c r="C131" s="202">
        <v>29</v>
      </c>
      <c r="D131" s="202">
        <v>11</v>
      </c>
      <c r="E131" s="202">
        <v>312</v>
      </c>
      <c r="F131" s="202">
        <v>89</v>
      </c>
      <c r="G131" s="203">
        <v>3319.92</v>
      </c>
      <c r="H131" s="203">
        <v>192.45586100000003</v>
      </c>
      <c r="I131" s="203">
        <v>252</v>
      </c>
      <c r="J131" s="203">
        <v>9178.7200000000012</v>
      </c>
      <c r="K131" s="203">
        <v>2054.2005000000008</v>
      </c>
      <c r="L131" s="203">
        <v>568</v>
      </c>
      <c r="M131" s="203">
        <v>3764.375861</v>
      </c>
      <c r="N131" s="203">
        <v>11800.920500000002</v>
      </c>
      <c r="O131" s="203">
        <v>11800.920500000002</v>
      </c>
      <c r="P131" s="203">
        <v>15565.296361000002</v>
      </c>
      <c r="Q131" s="204">
        <v>9.9921541534861761E-4</v>
      </c>
    </row>
    <row r="132" spans="1:17" x14ac:dyDescent="0.25">
      <c r="A132" s="192" t="s">
        <v>303</v>
      </c>
      <c r="B132" s="119" t="s">
        <v>84</v>
      </c>
      <c r="C132" s="202"/>
      <c r="D132" s="202">
        <v>82</v>
      </c>
      <c r="E132" s="202"/>
      <c r="F132" s="202">
        <v>275</v>
      </c>
      <c r="G132" s="203"/>
      <c r="H132" s="203">
        <v>775.1095310000004</v>
      </c>
      <c r="I132" s="203"/>
      <c r="J132" s="203"/>
      <c r="K132" s="203">
        <v>6990.8400000000011</v>
      </c>
      <c r="L132" s="203"/>
      <c r="M132" s="203">
        <v>775.1095310000004</v>
      </c>
      <c r="N132" s="203">
        <v>6990.8400000000011</v>
      </c>
      <c r="O132" s="203">
        <v>4112.8111752854211</v>
      </c>
      <c r="P132" s="203">
        <v>4887.9207062854211</v>
      </c>
      <c r="Q132" s="204">
        <v>3.1378045142523161E-4</v>
      </c>
    </row>
    <row r="133" spans="1:17" x14ac:dyDescent="0.25">
      <c r="A133" s="192" t="s">
        <v>359</v>
      </c>
      <c r="B133" s="119" t="s">
        <v>38</v>
      </c>
      <c r="C133" s="202">
        <v>104</v>
      </c>
      <c r="D133" s="202">
        <v>141</v>
      </c>
      <c r="E133" s="202">
        <v>888</v>
      </c>
      <c r="F133" s="202">
        <v>502</v>
      </c>
      <c r="G133" s="203">
        <v>6969.759659999997</v>
      </c>
      <c r="H133" s="203">
        <v>2481.1705259999994</v>
      </c>
      <c r="I133" s="203">
        <v>252</v>
      </c>
      <c r="J133" s="203">
        <v>31808.409999999963</v>
      </c>
      <c r="K133" s="203">
        <v>14806.543499999898</v>
      </c>
      <c r="L133" s="203">
        <v>759</v>
      </c>
      <c r="M133" s="203">
        <v>9702.930185999996</v>
      </c>
      <c r="N133" s="203">
        <v>47373.953499999858</v>
      </c>
      <c r="O133" s="203">
        <v>47373.953499999858</v>
      </c>
      <c r="P133" s="203">
        <v>57076.883685999856</v>
      </c>
      <c r="Q133" s="204">
        <v>3.6640550052107722E-3</v>
      </c>
    </row>
    <row r="134" spans="1:17" x14ac:dyDescent="0.25">
      <c r="A134" s="192" t="s">
        <v>290</v>
      </c>
      <c r="B134" s="119" t="s">
        <v>94</v>
      </c>
      <c r="C134" s="202">
        <v>472</v>
      </c>
      <c r="D134" s="202">
        <v>175</v>
      </c>
      <c r="E134" s="202">
        <v>6155</v>
      </c>
      <c r="F134" s="202">
        <v>560</v>
      </c>
      <c r="G134" s="203">
        <v>25562.062836000026</v>
      </c>
      <c r="H134" s="203">
        <v>2331.4434320000005</v>
      </c>
      <c r="I134" s="203">
        <v>1080</v>
      </c>
      <c r="J134" s="203">
        <v>79162.41000000012</v>
      </c>
      <c r="K134" s="203">
        <v>12962.700000000015</v>
      </c>
      <c r="L134" s="203">
        <v>3307</v>
      </c>
      <c r="M134" s="203">
        <v>28973.506268000026</v>
      </c>
      <c r="N134" s="203">
        <v>95432.110000000132</v>
      </c>
      <c r="O134" s="203">
        <v>95432.110000000132</v>
      </c>
      <c r="P134" s="203">
        <v>124405.61626800016</v>
      </c>
      <c r="Q134" s="204">
        <v>7.9862282508409797E-3</v>
      </c>
    </row>
    <row r="135" spans="1:17" x14ac:dyDescent="0.25">
      <c r="A135" s="192" t="s">
        <v>267</v>
      </c>
      <c r="B135" s="119" t="s">
        <v>115</v>
      </c>
      <c r="C135" s="202">
        <v>681</v>
      </c>
      <c r="D135" s="202">
        <v>122</v>
      </c>
      <c r="E135" s="202">
        <v>5315</v>
      </c>
      <c r="F135" s="202">
        <v>507</v>
      </c>
      <c r="G135" s="203">
        <v>34166.68275599974</v>
      </c>
      <c r="H135" s="203">
        <v>1118.3008960000011</v>
      </c>
      <c r="I135" s="203">
        <v>1812.96</v>
      </c>
      <c r="J135" s="203">
        <v>116513.29000000052</v>
      </c>
      <c r="K135" s="203">
        <v>10955.611799999968</v>
      </c>
      <c r="L135" s="203">
        <v>6455.3799999999983</v>
      </c>
      <c r="M135" s="203">
        <v>37097.94365199974</v>
      </c>
      <c r="N135" s="203">
        <v>133924.28180000049</v>
      </c>
      <c r="O135" s="203">
        <v>133924.28180000049</v>
      </c>
      <c r="P135" s="203">
        <v>171022.22545200022</v>
      </c>
      <c r="Q135" s="204">
        <v>1.0978785117579767E-2</v>
      </c>
    </row>
    <row r="136" spans="1:17" x14ac:dyDescent="0.25">
      <c r="A136" s="192" t="s">
        <v>384</v>
      </c>
      <c r="B136" s="119" t="s">
        <v>22</v>
      </c>
      <c r="C136" s="202">
        <v>181</v>
      </c>
      <c r="D136" s="202"/>
      <c r="E136" s="202">
        <v>2640</v>
      </c>
      <c r="F136" s="202"/>
      <c r="G136" s="203">
        <v>11895.112637999986</v>
      </c>
      <c r="H136" s="203"/>
      <c r="I136" s="203">
        <v>44202.240000000034</v>
      </c>
      <c r="J136" s="203">
        <v>40726.909999999873</v>
      </c>
      <c r="K136" s="203"/>
      <c r="L136" s="203">
        <v>146190.74000000019</v>
      </c>
      <c r="M136" s="203">
        <v>56097.352638000018</v>
      </c>
      <c r="N136" s="203">
        <v>186917.65000000008</v>
      </c>
      <c r="O136" s="203">
        <v>186917.65000000008</v>
      </c>
      <c r="P136" s="203">
        <v>243015.00263800009</v>
      </c>
      <c r="Q136" s="204">
        <v>1.5600367070767052E-2</v>
      </c>
    </row>
    <row r="137" spans="1:17" x14ac:dyDescent="0.25">
      <c r="A137" s="192" t="s">
        <v>217</v>
      </c>
      <c r="B137" s="119" t="s">
        <v>199</v>
      </c>
      <c r="C137" s="202">
        <v>768</v>
      </c>
      <c r="D137" s="202">
        <v>579</v>
      </c>
      <c r="E137" s="202">
        <v>7784</v>
      </c>
      <c r="F137" s="202">
        <v>2203</v>
      </c>
      <c r="G137" s="203">
        <v>37918.053899999875</v>
      </c>
      <c r="H137" s="203">
        <v>8125.8279889999758</v>
      </c>
      <c r="I137" s="203">
        <v>2916</v>
      </c>
      <c r="J137" s="203">
        <v>153506.69000000047</v>
      </c>
      <c r="K137" s="203">
        <v>43919.468999999517</v>
      </c>
      <c r="L137" s="203">
        <v>7137.5</v>
      </c>
      <c r="M137" s="203">
        <v>48959.881888999851</v>
      </c>
      <c r="N137" s="203">
        <v>204563.65899999999</v>
      </c>
      <c r="O137" s="203">
        <v>204563.65899999999</v>
      </c>
      <c r="P137" s="203">
        <v>253523.54088899982</v>
      </c>
      <c r="Q137" s="204">
        <v>1.6274963504374882E-2</v>
      </c>
    </row>
    <row r="138" spans="1:17" x14ac:dyDescent="0.25">
      <c r="A138" s="192" t="s">
        <v>446</v>
      </c>
      <c r="B138" s="119" t="s">
        <v>447</v>
      </c>
      <c r="C138" s="202">
        <v>49</v>
      </c>
      <c r="D138" s="202">
        <v>2</v>
      </c>
      <c r="E138" s="202">
        <v>432</v>
      </c>
      <c r="F138" s="202">
        <v>21</v>
      </c>
      <c r="G138" s="203">
        <v>4469.8341779999992</v>
      </c>
      <c r="H138" s="203">
        <v>23.911200000000001</v>
      </c>
      <c r="I138" s="203"/>
      <c r="J138" s="203">
        <v>11930.050000000007</v>
      </c>
      <c r="K138" s="203">
        <v>498.14999999999992</v>
      </c>
      <c r="L138" s="203"/>
      <c r="M138" s="203">
        <v>4493.7453779999987</v>
      </c>
      <c r="N138" s="203">
        <v>12428.200000000006</v>
      </c>
      <c r="O138" s="203">
        <v>12428.200000000006</v>
      </c>
      <c r="P138" s="203">
        <v>16921.945378000004</v>
      </c>
      <c r="Q138" s="204">
        <v>1.0863056049321882E-3</v>
      </c>
    </row>
    <row r="139" spans="1:17" x14ac:dyDescent="0.25">
      <c r="A139" s="192" t="s">
        <v>444</v>
      </c>
      <c r="B139" s="119" t="s">
        <v>445</v>
      </c>
      <c r="C139" s="202">
        <v>606</v>
      </c>
      <c r="D139" s="202">
        <v>1653</v>
      </c>
      <c r="E139" s="202">
        <v>5117</v>
      </c>
      <c r="F139" s="202">
        <v>7192</v>
      </c>
      <c r="G139" s="203">
        <v>31299.615558000096</v>
      </c>
      <c r="H139" s="203">
        <v>25029.962966999872</v>
      </c>
      <c r="I139" s="203"/>
      <c r="J139" s="203">
        <v>115276.30000000028</v>
      </c>
      <c r="K139" s="203">
        <v>141302.58261472217</v>
      </c>
      <c r="L139" s="203">
        <v>37.5</v>
      </c>
      <c r="M139" s="203">
        <v>56329.578524999968</v>
      </c>
      <c r="N139" s="203">
        <v>256616.38261472245</v>
      </c>
      <c r="O139" s="203">
        <v>256616.38261472245</v>
      </c>
      <c r="P139" s="203">
        <v>312945.96113972244</v>
      </c>
      <c r="Q139" s="204">
        <v>2.0089590412514988E-2</v>
      </c>
    </row>
    <row r="140" spans="1:17" x14ac:dyDescent="0.25">
      <c r="A140" s="193" t="s">
        <v>16</v>
      </c>
      <c r="B140" s="45"/>
      <c r="C140" s="207">
        <v>47592</v>
      </c>
      <c r="D140" s="207">
        <v>23963</v>
      </c>
      <c r="E140" s="207">
        <v>487225</v>
      </c>
      <c r="F140" s="207">
        <v>92297</v>
      </c>
      <c r="G140" s="208">
        <v>2793256.2616679994</v>
      </c>
      <c r="H140" s="208">
        <v>335721.0301249997</v>
      </c>
      <c r="I140" s="208">
        <v>349590.24000000017</v>
      </c>
      <c r="J140" s="208">
        <v>9134701.8449999988</v>
      </c>
      <c r="K140" s="208">
        <v>2008504.6444930444</v>
      </c>
      <c r="L140" s="208">
        <v>1016157.0099999998</v>
      </c>
      <c r="M140" s="208">
        <v>3478567.5317929992</v>
      </c>
      <c r="N140" s="208">
        <v>12159363.499493042</v>
      </c>
      <c r="O140" s="208">
        <v>12098712.861142872</v>
      </c>
      <c r="P140" s="208">
        <v>15577280.392935872</v>
      </c>
      <c r="Q140" s="209">
        <v>0.99998473121454312</v>
      </c>
    </row>
    <row r="142" spans="1:17" x14ac:dyDescent="0.25">
      <c r="A142" t="s">
        <v>515</v>
      </c>
    </row>
    <row r="143" spans="1:17" x14ac:dyDescent="0.25">
      <c r="A143" s="177" t="s">
        <v>517</v>
      </c>
    </row>
  </sheetData>
  <hyperlinks>
    <hyperlink ref="A143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6">
    <tabColor theme="9" tint="0.59999389629810485"/>
  </sheetPr>
  <dimension ref="A1:K152"/>
  <sheetViews>
    <sheetView zoomScale="90" zoomScaleNormal="90" workbookViewId="0">
      <pane xSplit="2" ySplit="3" topLeftCell="E4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1" max="1" width="12.5703125" customWidth="1"/>
    <col min="2" max="2" width="53.140625" customWidth="1"/>
    <col min="3" max="10" width="17.42578125" customWidth="1"/>
    <col min="13" max="13" width="9.140625" customWidth="1"/>
  </cols>
  <sheetData>
    <row r="1" spans="1:11" ht="19.5" x14ac:dyDescent="0.3">
      <c r="A1" s="136" t="s">
        <v>631</v>
      </c>
      <c r="C1" s="4"/>
    </row>
    <row r="2" spans="1:11" x14ac:dyDescent="0.25">
      <c r="A2" s="12" t="s">
        <v>628</v>
      </c>
      <c r="C2" s="177"/>
    </row>
    <row r="3" spans="1:11" ht="54" customHeight="1" x14ac:dyDescent="0.25">
      <c r="A3" s="44"/>
      <c r="B3" s="44" t="s">
        <v>12</v>
      </c>
      <c r="C3" s="44" t="s">
        <v>13</v>
      </c>
      <c r="D3" s="44" t="s">
        <v>14</v>
      </c>
      <c r="E3" s="44" t="s">
        <v>15</v>
      </c>
      <c r="F3" s="44" t="s">
        <v>533</v>
      </c>
      <c r="G3" s="44" t="s">
        <v>534</v>
      </c>
      <c r="H3" s="44" t="s">
        <v>535</v>
      </c>
      <c r="I3" s="44" t="s">
        <v>536</v>
      </c>
      <c r="J3" s="44" t="s">
        <v>537</v>
      </c>
    </row>
    <row r="4" spans="1:11" x14ac:dyDescent="0.25">
      <c r="A4" s="99" t="s">
        <v>444</v>
      </c>
      <c r="B4" s="205" t="s">
        <v>445</v>
      </c>
      <c r="C4" s="202">
        <v>2302</v>
      </c>
      <c r="D4" s="202">
        <v>2007</v>
      </c>
      <c r="E4" s="202">
        <v>18</v>
      </c>
      <c r="F4" s="202">
        <v>2025</v>
      </c>
      <c r="G4" s="203">
        <v>4989.3651948897395</v>
      </c>
      <c r="H4" s="203">
        <v>60.115259999999992</v>
      </c>
      <c r="I4" s="203">
        <v>5049.4804548897391</v>
      </c>
      <c r="J4" s="199">
        <v>2.5371275760525225E-2</v>
      </c>
    </row>
    <row r="5" spans="1:11" x14ac:dyDescent="0.25">
      <c r="A5" s="99" t="s">
        <v>386</v>
      </c>
      <c r="B5" s="205" t="s">
        <v>18</v>
      </c>
      <c r="C5" s="202">
        <v>171</v>
      </c>
      <c r="D5" s="202">
        <v>111</v>
      </c>
      <c r="E5" s="202">
        <v>9</v>
      </c>
      <c r="F5" s="202">
        <v>120</v>
      </c>
      <c r="G5" s="203">
        <v>432.14216586023133</v>
      </c>
      <c r="H5" s="203">
        <v>40.375</v>
      </c>
      <c r="I5" s="203">
        <v>472.51716586023133</v>
      </c>
      <c r="J5" s="199">
        <v>2.3741775859361246E-3</v>
      </c>
      <c r="K5" s="201"/>
    </row>
    <row r="6" spans="1:11" x14ac:dyDescent="0.25">
      <c r="A6" s="99" t="s">
        <v>383</v>
      </c>
      <c r="B6" s="205" t="s">
        <v>181</v>
      </c>
      <c r="C6" s="202">
        <v>0</v>
      </c>
      <c r="D6" s="202"/>
      <c r="E6" s="202"/>
      <c r="F6" s="202"/>
      <c r="G6" s="203"/>
      <c r="H6" s="203"/>
      <c r="I6" s="203"/>
      <c r="J6" s="199"/>
      <c r="K6" s="201"/>
    </row>
    <row r="7" spans="1:11" x14ac:dyDescent="0.25">
      <c r="A7" s="99" t="s">
        <v>385</v>
      </c>
      <c r="B7" s="205" t="s">
        <v>19</v>
      </c>
      <c r="C7" s="202">
        <v>16</v>
      </c>
      <c r="D7" s="202">
        <v>2</v>
      </c>
      <c r="E7" s="202">
        <v>0</v>
      </c>
      <c r="F7" s="202">
        <v>2</v>
      </c>
      <c r="G7" s="203">
        <v>64.337536760813663</v>
      </c>
      <c r="H7" s="203">
        <v>0</v>
      </c>
      <c r="I7" s="203">
        <v>64.337536760813663</v>
      </c>
      <c r="J7" s="199">
        <v>3.2326600756140089E-4</v>
      </c>
      <c r="K7" s="201"/>
    </row>
    <row r="8" spans="1:11" x14ac:dyDescent="0.25">
      <c r="A8" s="99" t="s">
        <v>384</v>
      </c>
      <c r="B8" s="205" t="s">
        <v>22</v>
      </c>
      <c r="C8" s="202">
        <v>212</v>
      </c>
      <c r="D8" s="202">
        <v>62</v>
      </c>
      <c r="E8" s="202">
        <v>2</v>
      </c>
      <c r="F8" s="202">
        <v>64</v>
      </c>
      <c r="G8" s="203">
        <v>389.55369831791165</v>
      </c>
      <c r="H8" s="203">
        <v>13.25</v>
      </c>
      <c r="I8" s="203">
        <v>402.80369831791165</v>
      </c>
      <c r="J8" s="199">
        <v>2.0239000425255243E-3</v>
      </c>
      <c r="K8" s="201"/>
    </row>
    <row r="9" spans="1:11" x14ac:dyDescent="0.25">
      <c r="A9" s="99" t="s">
        <v>382</v>
      </c>
      <c r="B9" s="205" t="s">
        <v>198</v>
      </c>
      <c r="C9" s="202">
        <v>127</v>
      </c>
      <c r="D9" s="202">
        <v>120</v>
      </c>
      <c r="E9" s="202">
        <v>0</v>
      </c>
      <c r="F9" s="202">
        <v>120</v>
      </c>
      <c r="G9" s="203">
        <v>242.94822648504038</v>
      </c>
      <c r="H9" s="203">
        <v>0</v>
      </c>
      <c r="I9" s="203">
        <v>242.94822648504038</v>
      </c>
      <c r="J9" s="199">
        <v>1.2207011205902555E-3</v>
      </c>
      <c r="K9" s="201"/>
    </row>
    <row r="10" spans="1:11" x14ac:dyDescent="0.25">
      <c r="A10" s="99" t="s">
        <v>381</v>
      </c>
      <c r="B10" s="205" t="s">
        <v>23</v>
      </c>
      <c r="C10" s="202">
        <v>737</v>
      </c>
      <c r="D10" s="202">
        <v>546</v>
      </c>
      <c r="E10" s="202">
        <v>36</v>
      </c>
      <c r="F10" s="202">
        <v>582</v>
      </c>
      <c r="G10" s="203">
        <v>1792.9847833147071</v>
      </c>
      <c r="H10" s="203">
        <v>157.52660000000009</v>
      </c>
      <c r="I10" s="203">
        <v>1950.5113833147072</v>
      </c>
      <c r="J10" s="199">
        <v>9.8004067195070592E-3</v>
      </c>
      <c r="K10" s="201"/>
    </row>
    <row r="11" spans="1:11" x14ac:dyDescent="0.25">
      <c r="A11" s="99" t="s">
        <v>217</v>
      </c>
      <c r="B11" s="205" t="s">
        <v>199</v>
      </c>
      <c r="C11" s="202">
        <v>1301</v>
      </c>
      <c r="D11" s="202">
        <v>1108</v>
      </c>
      <c r="E11" s="202">
        <v>18</v>
      </c>
      <c r="F11" s="202">
        <v>1126</v>
      </c>
      <c r="G11" s="203">
        <v>3166.0735650497904</v>
      </c>
      <c r="H11" s="203">
        <v>74.586399999999983</v>
      </c>
      <c r="I11" s="203">
        <v>3240.6599650497906</v>
      </c>
      <c r="J11" s="199">
        <v>1.6282799459051998E-2</v>
      </c>
      <c r="K11" s="201"/>
    </row>
    <row r="12" spans="1:11" x14ac:dyDescent="0.25">
      <c r="A12" s="99" t="s">
        <v>378</v>
      </c>
      <c r="B12" s="205" t="s">
        <v>25</v>
      </c>
      <c r="C12" s="202">
        <v>3254</v>
      </c>
      <c r="D12" s="202">
        <v>2552</v>
      </c>
      <c r="E12" s="202">
        <v>66</v>
      </c>
      <c r="F12" s="202">
        <v>2618</v>
      </c>
      <c r="G12" s="203">
        <v>8109.2265976136314</v>
      </c>
      <c r="H12" s="203">
        <v>254.91130000000041</v>
      </c>
      <c r="I12" s="203">
        <v>8364.1378976136311</v>
      </c>
      <c r="J12" s="199">
        <v>4.2025877908670697E-2</v>
      </c>
      <c r="K12" s="201"/>
    </row>
    <row r="13" spans="1:11" x14ac:dyDescent="0.25">
      <c r="A13" s="99" t="s">
        <v>377</v>
      </c>
      <c r="B13" s="205" t="s">
        <v>26</v>
      </c>
      <c r="C13" s="202">
        <v>1289</v>
      </c>
      <c r="D13" s="202">
        <v>863</v>
      </c>
      <c r="E13" s="202">
        <v>37</v>
      </c>
      <c r="F13" s="202">
        <v>900</v>
      </c>
      <c r="G13" s="203">
        <v>3186.1038777854687</v>
      </c>
      <c r="H13" s="203">
        <v>157.38427999999988</v>
      </c>
      <c r="I13" s="203">
        <v>3343.4881577854685</v>
      </c>
      <c r="J13" s="199">
        <v>1.6799462996451568E-2</v>
      </c>
      <c r="K13" s="201"/>
    </row>
    <row r="14" spans="1:11" x14ac:dyDescent="0.25">
      <c r="A14" s="99" t="s">
        <v>375</v>
      </c>
      <c r="B14" s="205" t="s">
        <v>27</v>
      </c>
      <c r="C14" s="202">
        <v>1164</v>
      </c>
      <c r="D14" s="202">
        <v>836</v>
      </c>
      <c r="E14" s="202">
        <v>45</v>
      </c>
      <c r="F14" s="202">
        <v>881</v>
      </c>
      <c r="G14" s="203">
        <v>3105.1130962543921</v>
      </c>
      <c r="H14" s="203">
        <v>188.14406799999998</v>
      </c>
      <c r="I14" s="203">
        <v>3293.2571642543921</v>
      </c>
      <c r="J14" s="199">
        <v>1.6547075765728059E-2</v>
      </c>
      <c r="K14" s="201"/>
    </row>
    <row r="15" spans="1:11" x14ac:dyDescent="0.25">
      <c r="A15" s="99" t="s">
        <v>374</v>
      </c>
      <c r="B15" s="205" t="s">
        <v>28</v>
      </c>
      <c r="C15" s="202">
        <v>21</v>
      </c>
      <c r="D15" s="202">
        <v>15</v>
      </c>
      <c r="E15" s="202">
        <v>1</v>
      </c>
      <c r="F15" s="202">
        <v>16</v>
      </c>
      <c r="G15" s="203">
        <v>46.534376077270451</v>
      </c>
      <c r="H15" s="203">
        <v>4.4210520000000004</v>
      </c>
      <c r="I15" s="203">
        <v>50.955428077270454</v>
      </c>
      <c r="J15" s="199">
        <v>2.5602717522990554E-4</v>
      </c>
      <c r="K15" s="201"/>
    </row>
    <row r="16" spans="1:11" x14ac:dyDescent="0.25">
      <c r="A16" s="99" t="s">
        <v>372</v>
      </c>
      <c r="B16" s="205" t="s">
        <v>29</v>
      </c>
      <c r="C16" s="202">
        <v>54</v>
      </c>
      <c r="D16" s="202">
        <v>41</v>
      </c>
      <c r="E16" s="202">
        <v>6</v>
      </c>
      <c r="F16" s="202">
        <v>47</v>
      </c>
      <c r="G16" s="203">
        <v>140.40122893145991</v>
      </c>
      <c r="H16" s="203">
        <v>24.244879999999995</v>
      </c>
      <c r="I16" s="203">
        <v>164.64610893145991</v>
      </c>
      <c r="J16" s="199">
        <v>8.2726963098795877E-4</v>
      </c>
      <c r="K16" s="201"/>
    </row>
    <row r="17" spans="1:11" x14ac:dyDescent="0.25">
      <c r="A17" s="99" t="s">
        <v>371</v>
      </c>
      <c r="B17" s="205" t="s">
        <v>459</v>
      </c>
      <c r="C17" s="202">
        <v>9</v>
      </c>
      <c r="D17" s="202">
        <v>2</v>
      </c>
      <c r="E17" s="202">
        <v>5</v>
      </c>
      <c r="F17" s="202">
        <v>7</v>
      </c>
      <c r="G17" s="203">
        <v>8.6299312762954674</v>
      </c>
      <c r="H17" s="203">
        <v>22.5</v>
      </c>
      <c r="I17" s="203">
        <v>31.129931276295466</v>
      </c>
      <c r="J17" s="199">
        <v>1.5641333358410584E-4</v>
      </c>
      <c r="K17" s="201"/>
    </row>
    <row r="18" spans="1:11" x14ac:dyDescent="0.25">
      <c r="A18" s="99" t="s">
        <v>370</v>
      </c>
      <c r="B18" s="205" t="s">
        <v>146</v>
      </c>
      <c r="C18" s="202">
        <v>133</v>
      </c>
      <c r="D18" s="202">
        <v>119</v>
      </c>
      <c r="E18" s="202">
        <v>1</v>
      </c>
      <c r="F18" s="202">
        <v>120</v>
      </c>
      <c r="G18" s="203">
        <v>332.09693429852069</v>
      </c>
      <c r="H18" s="203">
        <v>2.1451600000000002</v>
      </c>
      <c r="I18" s="203">
        <v>334.24209429852067</v>
      </c>
      <c r="J18" s="199">
        <v>1.6794100741614648E-3</v>
      </c>
      <c r="K18" s="201"/>
    </row>
    <row r="19" spans="1:11" x14ac:dyDescent="0.25">
      <c r="A19" s="99" t="s">
        <v>369</v>
      </c>
      <c r="B19" s="205" t="s">
        <v>30</v>
      </c>
      <c r="C19" s="202">
        <v>53</v>
      </c>
      <c r="D19" s="202">
        <v>41</v>
      </c>
      <c r="E19" s="202">
        <v>0</v>
      </c>
      <c r="F19" s="202">
        <v>41</v>
      </c>
      <c r="G19" s="203">
        <v>129.32496480992967</v>
      </c>
      <c r="H19" s="203">
        <v>0</v>
      </c>
      <c r="I19" s="203">
        <v>129.32496480992967</v>
      </c>
      <c r="J19" s="199">
        <v>6.4979741464997779E-4</v>
      </c>
      <c r="K19" s="201"/>
    </row>
    <row r="20" spans="1:11" x14ac:dyDescent="0.25">
      <c r="A20" s="99" t="s">
        <v>368</v>
      </c>
      <c r="B20" s="205" t="s">
        <v>31</v>
      </c>
      <c r="C20" s="202">
        <v>60</v>
      </c>
      <c r="D20" s="202">
        <v>44</v>
      </c>
      <c r="E20" s="202">
        <v>1</v>
      </c>
      <c r="F20" s="202">
        <v>45</v>
      </c>
      <c r="G20" s="203">
        <v>165.81364996631987</v>
      </c>
      <c r="H20" s="203">
        <v>4.5282999999999998</v>
      </c>
      <c r="I20" s="203">
        <v>170.34194996631987</v>
      </c>
      <c r="J20" s="199">
        <v>8.5588856611892026E-4</v>
      </c>
      <c r="K20" s="201"/>
    </row>
    <row r="21" spans="1:11" x14ac:dyDescent="0.25">
      <c r="A21" s="99" t="s">
        <v>367</v>
      </c>
      <c r="B21" s="205" t="s">
        <v>162</v>
      </c>
      <c r="C21" s="202">
        <v>49</v>
      </c>
      <c r="D21" s="202">
        <v>48</v>
      </c>
      <c r="E21" s="202">
        <v>0</v>
      </c>
      <c r="F21" s="202">
        <v>48</v>
      </c>
      <c r="G21" s="203">
        <v>98.041732101803632</v>
      </c>
      <c r="H21" s="203">
        <v>0</v>
      </c>
      <c r="I21" s="203">
        <v>98.041732101803632</v>
      </c>
      <c r="J21" s="199">
        <v>4.9261381312717934E-4</v>
      </c>
      <c r="K21" s="201"/>
    </row>
    <row r="22" spans="1:11" x14ac:dyDescent="0.25">
      <c r="A22" s="99" t="s">
        <v>366</v>
      </c>
      <c r="B22" s="205" t="s">
        <v>32</v>
      </c>
      <c r="C22" s="202">
        <v>3696</v>
      </c>
      <c r="D22" s="202">
        <v>2981</v>
      </c>
      <c r="E22" s="202">
        <v>88</v>
      </c>
      <c r="F22" s="202">
        <v>3069</v>
      </c>
      <c r="G22" s="203">
        <v>9132.3473693270389</v>
      </c>
      <c r="H22" s="203">
        <v>292.70906400000001</v>
      </c>
      <c r="I22" s="203">
        <v>9425.0564333270395</v>
      </c>
      <c r="J22" s="199">
        <v>4.7356496963344367E-2</v>
      </c>
      <c r="K22" s="201"/>
    </row>
    <row r="23" spans="1:11" x14ac:dyDescent="0.25">
      <c r="A23" s="99" t="s">
        <v>362</v>
      </c>
      <c r="B23" s="205" t="s">
        <v>33</v>
      </c>
      <c r="C23" s="202">
        <v>22</v>
      </c>
      <c r="D23" s="202">
        <v>10</v>
      </c>
      <c r="E23" s="202">
        <v>10</v>
      </c>
      <c r="F23" s="202">
        <v>20</v>
      </c>
      <c r="G23" s="203">
        <v>30.184286561488527</v>
      </c>
      <c r="H23" s="203">
        <v>37.4</v>
      </c>
      <c r="I23" s="203">
        <v>67.584286561488526</v>
      </c>
      <c r="J23" s="199">
        <v>3.3957940559398142E-4</v>
      </c>
      <c r="K23" s="201"/>
    </row>
    <row r="24" spans="1:11" x14ac:dyDescent="0.25">
      <c r="A24" s="99" t="s">
        <v>365</v>
      </c>
      <c r="B24" s="205" t="s">
        <v>34</v>
      </c>
      <c r="C24" s="202">
        <v>924</v>
      </c>
      <c r="D24" s="202">
        <v>644</v>
      </c>
      <c r="E24" s="202">
        <v>46</v>
      </c>
      <c r="F24" s="202">
        <v>690</v>
      </c>
      <c r="G24" s="203">
        <v>2322.0420142015973</v>
      </c>
      <c r="H24" s="203">
        <v>205.33332399999978</v>
      </c>
      <c r="I24" s="203">
        <v>2527.3753382015971</v>
      </c>
      <c r="J24" s="199">
        <v>1.269887807839106E-2</v>
      </c>
      <c r="K24" s="201"/>
    </row>
    <row r="25" spans="1:11" x14ac:dyDescent="0.25">
      <c r="A25" s="99" t="s">
        <v>364</v>
      </c>
      <c r="B25" s="205" t="s">
        <v>35</v>
      </c>
      <c r="C25" s="202">
        <v>369</v>
      </c>
      <c r="D25" s="202">
        <v>171</v>
      </c>
      <c r="E25" s="202">
        <v>9</v>
      </c>
      <c r="F25" s="202">
        <v>180</v>
      </c>
      <c r="G25" s="203">
        <v>842.99859747605944</v>
      </c>
      <c r="H25" s="203">
        <v>49.984046000000006</v>
      </c>
      <c r="I25" s="203">
        <v>892.98264347605948</v>
      </c>
      <c r="J25" s="199">
        <v>4.4868198024322504E-3</v>
      </c>
      <c r="K25" s="201"/>
    </row>
    <row r="26" spans="1:11" x14ac:dyDescent="0.25">
      <c r="A26" s="99" t="s">
        <v>363</v>
      </c>
      <c r="B26" s="205" t="s">
        <v>36</v>
      </c>
      <c r="C26" s="202">
        <v>123</v>
      </c>
      <c r="D26" s="202">
        <v>80</v>
      </c>
      <c r="E26" s="202">
        <v>7</v>
      </c>
      <c r="F26" s="202">
        <v>87</v>
      </c>
      <c r="G26" s="203">
        <v>322.51831227845855</v>
      </c>
      <c r="H26" s="203">
        <v>21.705876</v>
      </c>
      <c r="I26" s="203">
        <v>344.22418827845854</v>
      </c>
      <c r="J26" s="199">
        <v>1.7295654240623117E-3</v>
      </c>
      <c r="K26" s="201"/>
    </row>
    <row r="27" spans="1:11" x14ac:dyDescent="0.25">
      <c r="A27" s="99" t="s">
        <v>360</v>
      </c>
      <c r="B27" s="205" t="s">
        <v>37</v>
      </c>
      <c r="C27" s="202">
        <v>1478</v>
      </c>
      <c r="D27" s="202">
        <v>1073</v>
      </c>
      <c r="E27" s="202">
        <v>56</v>
      </c>
      <c r="F27" s="202">
        <v>1129</v>
      </c>
      <c r="G27" s="203">
        <v>3700.8644050501216</v>
      </c>
      <c r="H27" s="203">
        <v>235.03355200000024</v>
      </c>
      <c r="I27" s="203">
        <v>3935.8979570501219</v>
      </c>
      <c r="J27" s="199">
        <v>1.9776044946744335E-2</v>
      </c>
      <c r="K27" s="201"/>
    </row>
    <row r="28" spans="1:11" x14ac:dyDescent="0.25">
      <c r="A28" s="99" t="s">
        <v>359</v>
      </c>
      <c r="B28" s="205" t="s">
        <v>38</v>
      </c>
      <c r="C28" s="202">
        <v>252</v>
      </c>
      <c r="D28" s="202">
        <v>184</v>
      </c>
      <c r="E28" s="202">
        <v>7</v>
      </c>
      <c r="F28" s="202">
        <v>191</v>
      </c>
      <c r="G28" s="203">
        <v>523.22902644862677</v>
      </c>
      <c r="H28" s="203">
        <v>26.410464000000001</v>
      </c>
      <c r="I28" s="203">
        <v>549.63949044862682</v>
      </c>
      <c r="J28" s="199">
        <v>2.7616811681175596E-3</v>
      </c>
      <c r="K28" s="201"/>
    </row>
    <row r="29" spans="1:11" x14ac:dyDescent="0.25">
      <c r="A29" s="99" t="s">
        <v>358</v>
      </c>
      <c r="B29" s="205" t="s">
        <v>39</v>
      </c>
      <c r="C29" s="202">
        <v>215</v>
      </c>
      <c r="D29" s="202">
        <v>106</v>
      </c>
      <c r="E29" s="202">
        <v>2</v>
      </c>
      <c r="F29" s="202">
        <v>108</v>
      </c>
      <c r="G29" s="203">
        <v>493.35079573960354</v>
      </c>
      <c r="H29" s="203">
        <v>7.86585</v>
      </c>
      <c r="I29" s="203">
        <v>501.21664573960356</v>
      </c>
      <c r="J29" s="199">
        <v>2.5183790388792864E-3</v>
      </c>
      <c r="K29" s="201"/>
    </row>
    <row r="30" spans="1:11" x14ac:dyDescent="0.25">
      <c r="A30" s="99" t="s">
        <v>357</v>
      </c>
      <c r="B30" s="205" t="s">
        <v>40</v>
      </c>
      <c r="C30" s="202">
        <v>17</v>
      </c>
      <c r="D30" s="202">
        <v>7</v>
      </c>
      <c r="E30" s="202">
        <v>0</v>
      </c>
      <c r="F30" s="202">
        <v>7</v>
      </c>
      <c r="G30" s="203">
        <v>50.054747178219387</v>
      </c>
      <c r="H30" s="203">
        <v>0</v>
      </c>
      <c r="I30" s="203">
        <v>50.054747178219387</v>
      </c>
      <c r="J30" s="199">
        <v>2.5150167529655419E-4</v>
      </c>
      <c r="K30" s="201"/>
    </row>
    <row r="31" spans="1:11" x14ac:dyDescent="0.25">
      <c r="A31" s="99" t="s">
        <v>356</v>
      </c>
      <c r="B31" s="205" t="s">
        <v>41</v>
      </c>
      <c r="C31" s="202">
        <v>731</v>
      </c>
      <c r="D31" s="202">
        <v>508</v>
      </c>
      <c r="E31" s="202">
        <v>31</v>
      </c>
      <c r="F31" s="202">
        <v>539</v>
      </c>
      <c r="G31" s="203">
        <v>1750.1225452062536</v>
      </c>
      <c r="H31" s="203">
        <v>115.36262399999991</v>
      </c>
      <c r="I31" s="203">
        <v>1865.4851692062534</v>
      </c>
      <c r="J31" s="199">
        <v>9.3731897920843448E-3</v>
      </c>
      <c r="K31" s="201"/>
    </row>
    <row r="32" spans="1:11" x14ac:dyDescent="0.25">
      <c r="A32" s="99" t="s">
        <v>355</v>
      </c>
      <c r="B32" s="205" t="s">
        <v>42</v>
      </c>
      <c r="C32" s="202">
        <v>36</v>
      </c>
      <c r="D32" s="202">
        <v>29</v>
      </c>
      <c r="E32" s="202">
        <v>2</v>
      </c>
      <c r="F32" s="202">
        <v>31</v>
      </c>
      <c r="G32" s="203">
        <v>87.632162455938115</v>
      </c>
      <c r="H32" s="203">
        <v>6.5454539999999994</v>
      </c>
      <c r="I32" s="203">
        <v>94.177616455938107</v>
      </c>
      <c r="J32" s="199">
        <v>4.7319844069477823E-4</v>
      </c>
      <c r="K32" s="201"/>
    </row>
    <row r="33" spans="1:11" x14ac:dyDescent="0.25">
      <c r="A33" s="99" t="s">
        <v>352</v>
      </c>
      <c r="B33" s="205" t="s">
        <v>43</v>
      </c>
      <c r="C33" s="202">
        <v>29</v>
      </c>
      <c r="D33" s="202">
        <v>11</v>
      </c>
      <c r="E33" s="202">
        <v>16</v>
      </c>
      <c r="F33" s="202">
        <v>27</v>
      </c>
      <c r="G33" s="203">
        <v>38.050810553084553</v>
      </c>
      <c r="H33" s="203">
        <v>58</v>
      </c>
      <c r="I33" s="203">
        <v>96.050810553084546</v>
      </c>
      <c r="J33" s="199">
        <v>4.8261036424142127E-4</v>
      </c>
      <c r="K33" s="201"/>
    </row>
    <row r="34" spans="1:11" x14ac:dyDescent="0.25">
      <c r="A34" s="99" t="s">
        <v>351</v>
      </c>
      <c r="B34" s="205" t="s">
        <v>44</v>
      </c>
      <c r="C34" s="202">
        <v>1214</v>
      </c>
      <c r="D34" s="202">
        <v>910</v>
      </c>
      <c r="E34" s="202">
        <v>31</v>
      </c>
      <c r="F34" s="202">
        <v>941</v>
      </c>
      <c r="G34" s="203">
        <v>3411.8698639312852</v>
      </c>
      <c r="H34" s="203">
        <v>138.47903999999994</v>
      </c>
      <c r="I34" s="203">
        <v>3550.3489039312853</v>
      </c>
      <c r="J34" s="199">
        <v>1.7838841419911201E-2</v>
      </c>
      <c r="K34" s="201"/>
    </row>
    <row r="35" spans="1:11" x14ac:dyDescent="0.25">
      <c r="A35" s="99" t="s">
        <v>350</v>
      </c>
      <c r="B35" s="205" t="s">
        <v>45</v>
      </c>
      <c r="C35" s="202">
        <v>97</v>
      </c>
      <c r="D35" s="202">
        <v>97</v>
      </c>
      <c r="E35" s="202">
        <v>0</v>
      </c>
      <c r="F35" s="202">
        <v>97</v>
      </c>
      <c r="G35" s="203">
        <v>192.08182357310866</v>
      </c>
      <c r="H35" s="203">
        <v>0</v>
      </c>
      <c r="I35" s="203">
        <v>192.08182357310866</v>
      </c>
      <c r="J35" s="199">
        <v>9.6512125514590385E-4</v>
      </c>
      <c r="K35" s="201"/>
    </row>
    <row r="36" spans="1:11" x14ac:dyDescent="0.25">
      <c r="A36" s="99" t="s">
        <v>349</v>
      </c>
      <c r="B36" s="205" t="s">
        <v>531</v>
      </c>
      <c r="C36" s="202">
        <v>3152</v>
      </c>
      <c r="D36" s="202">
        <v>2276</v>
      </c>
      <c r="E36" s="202">
        <v>127</v>
      </c>
      <c r="F36" s="202">
        <v>2403</v>
      </c>
      <c r="G36" s="203">
        <v>8177.5169393518563</v>
      </c>
      <c r="H36" s="203">
        <v>510.17587999999904</v>
      </c>
      <c r="I36" s="203">
        <v>8687.6928193518561</v>
      </c>
      <c r="J36" s="199">
        <v>4.365158994309324E-2</v>
      </c>
      <c r="K36" s="201"/>
    </row>
    <row r="37" spans="1:11" x14ac:dyDescent="0.25">
      <c r="A37" s="99" t="s">
        <v>354</v>
      </c>
      <c r="B37" s="205" t="s">
        <v>47</v>
      </c>
      <c r="C37" s="202">
        <v>72</v>
      </c>
      <c r="D37" s="202">
        <v>58</v>
      </c>
      <c r="E37" s="202">
        <v>1</v>
      </c>
      <c r="F37" s="202">
        <v>59</v>
      </c>
      <c r="G37" s="203">
        <v>192.11789382589447</v>
      </c>
      <c r="H37" s="203">
        <v>4.4307679999999996</v>
      </c>
      <c r="I37" s="203">
        <v>196.54866182589447</v>
      </c>
      <c r="J37" s="199">
        <v>9.8756502655992086E-4</v>
      </c>
      <c r="K37" s="201"/>
    </row>
    <row r="38" spans="1:11" x14ac:dyDescent="0.25">
      <c r="A38" s="99" t="s">
        <v>353</v>
      </c>
      <c r="B38" s="205" t="s">
        <v>48</v>
      </c>
      <c r="C38" s="202">
        <v>34</v>
      </c>
      <c r="D38" s="202">
        <v>23</v>
      </c>
      <c r="E38" s="202">
        <v>1</v>
      </c>
      <c r="F38" s="202">
        <v>24</v>
      </c>
      <c r="G38" s="203">
        <v>107.64277318789222</v>
      </c>
      <c r="H38" s="203">
        <v>4.5333319999999997</v>
      </c>
      <c r="I38" s="203">
        <v>112.17610518789222</v>
      </c>
      <c r="J38" s="199">
        <v>5.6363242196683474E-4</v>
      </c>
      <c r="K38" s="201"/>
    </row>
    <row r="39" spans="1:11" x14ac:dyDescent="0.25">
      <c r="A39" s="99" t="s">
        <v>348</v>
      </c>
      <c r="B39" s="205" t="s">
        <v>49</v>
      </c>
      <c r="C39" s="202">
        <v>225</v>
      </c>
      <c r="D39" s="202">
        <v>178</v>
      </c>
      <c r="E39" s="202">
        <v>5</v>
      </c>
      <c r="F39" s="202">
        <v>183</v>
      </c>
      <c r="G39" s="203">
        <v>549.86424814139332</v>
      </c>
      <c r="H39" s="203">
        <v>22.27722</v>
      </c>
      <c r="I39" s="203">
        <v>572.14146814139326</v>
      </c>
      <c r="J39" s="199">
        <v>2.874743073456261E-3</v>
      </c>
      <c r="K39" s="201"/>
    </row>
    <row r="40" spans="1:11" x14ac:dyDescent="0.25">
      <c r="A40" s="99" t="s">
        <v>347</v>
      </c>
      <c r="B40" s="205" t="s">
        <v>50</v>
      </c>
      <c r="C40" s="202">
        <v>1322</v>
      </c>
      <c r="D40" s="202">
        <v>965</v>
      </c>
      <c r="E40" s="202">
        <v>57</v>
      </c>
      <c r="F40" s="202">
        <v>1022</v>
      </c>
      <c r="G40" s="203">
        <v>3389.5339614723939</v>
      </c>
      <c r="H40" s="203">
        <v>232.12370999999985</v>
      </c>
      <c r="I40" s="203">
        <v>3621.6576714723938</v>
      </c>
      <c r="J40" s="199">
        <v>1.819713459909891E-2</v>
      </c>
      <c r="K40" s="201"/>
    </row>
    <row r="41" spans="1:11" x14ac:dyDescent="0.25">
      <c r="A41" s="99" t="s">
        <v>346</v>
      </c>
      <c r="B41" s="205" t="s">
        <v>201</v>
      </c>
      <c r="C41" s="202">
        <v>50</v>
      </c>
      <c r="D41" s="202">
        <v>40</v>
      </c>
      <c r="E41" s="202">
        <v>0</v>
      </c>
      <c r="F41" s="202">
        <v>40</v>
      </c>
      <c r="G41" s="203">
        <v>140.60813080614585</v>
      </c>
      <c r="H41" s="203">
        <v>0</v>
      </c>
      <c r="I41" s="203">
        <v>140.60813080614585</v>
      </c>
      <c r="J41" s="199">
        <v>7.06490042435985E-4</v>
      </c>
      <c r="K41" s="201"/>
    </row>
    <row r="42" spans="1:11" x14ac:dyDescent="0.25">
      <c r="A42" s="99" t="s">
        <v>345</v>
      </c>
      <c r="B42" s="205" t="s">
        <v>51</v>
      </c>
      <c r="C42" s="202">
        <v>47</v>
      </c>
      <c r="D42" s="202">
        <v>35</v>
      </c>
      <c r="E42" s="202">
        <v>2</v>
      </c>
      <c r="F42" s="202">
        <v>37</v>
      </c>
      <c r="G42" s="203">
        <v>118.44105892751942</v>
      </c>
      <c r="H42" s="203">
        <v>8.9523759999999992</v>
      </c>
      <c r="I42" s="203">
        <v>127.39343492751942</v>
      </c>
      <c r="J42" s="199">
        <v>6.4009238108778826E-4</v>
      </c>
      <c r="K42" s="201"/>
    </row>
    <row r="43" spans="1:11" x14ac:dyDescent="0.25">
      <c r="A43" s="99" t="s">
        <v>344</v>
      </c>
      <c r="B43" s="205" t="s">
        <v>52</v>
      </c>
      <c r="C43" s="202">
        <v>11</v>
      </c>
      <c r="D43" s="202">
        <v>8</v>
      </c>
      <c r="E43" s="202">
        <v>0</v>
      </c>
      <c r="F43" s="202">
        <v>8</v>
      </c>
      <c r="G43" s="203">
        <v>24.2</v>
      </c>
      <c r="H43" s="203">
        <v>0</v>
      </c>
      <c r="I43" s="203">
        <v>24.2</v>
      </c>
      <c r="J43" s="199">
        <v>1.2159367263421113E-4</v>
      </c>
      <c r="K43" s="201"/>
    </row>
    <row r="44" spans="1:11" x14ac:dyDescent="0.25">
      <c r="A44" s="99" t="s">
        <v>343</v>
      </c>
      <c r="B44" s="205" t="s">
        <v>53</v>
      </c>
      <c r="C44" s="202">
        <v>9</v>
      </c>
      <c r="D44" s="202">
        <v>5</v>
      </c>
      <c r="E44" s="202">
        <v>1</v>
      </c>
      <c r="F44" s="202">
        <v>6</v>
      </c>
      <c r="G44" s="203">
        <v>16.518077470210851</v>
      </c>
      <c r="H44" s="203">
        <v>4</v>
      </c>
      <c r="I44" s="203">
        <v>20.518077470210851</v>
      </c>
      <c r="J44" s="199">
        <v>1.0309373533042154E-4</v>
      </c>
      <c r="K44" s="201"/>
    </row>
    <row r="45" spans="1:11" x14ac:dyDescent="0.25">
      <c r="A45" s="99" t="s">
        <v>340</v>
      </c>
      <c r="B45" s="205" t="s">
        <v>56</v>
      </c>
      <c r="C45" s="202">
        <v>29</v>
      </c>
      <c r="D45" s="202">
        <v>26</v>
      </c>
      <c r="E45" s="202">
        <v>0</v>
      </c>
      <c r="F45" s="202">
        <v>26</v>
      </c>
      <c r="G45" s="203">
        <v>75.110692360687295</v>
      </c>
      <c r="H45" s="203">
        <v>0</v>
      </c>
      <c r="I45" s="203">
        <v>75.110692360687295</v>
      </c>
      <c r="J45" s="199">
        <v>3.7739607182786587E-4</v>
      </c>
      <c r="K45" s="201"/>
    </row>
    <row r="46" spans="1:11" x14ac:dyDescent="0.25">
      <c r="A46" s="99" t="s">
        <v>339</v>
      </c>
      <c r="B46" s="205" t="s">
        <v>57</v>
      </c>
      <c r="C46" s="202">
        <v>954</v>
      </c>
      <c r="D46" s="202">
        <v>626</v>
      </c>
      <c r="E46" s="202">
        <v>38</v>
      </c>
      <c r="F46" s="202">
        <v>664</v>
      </c>
      <c r="G46" s="203">
        <v>2385.3063671548325</v>
      </c>
      <c r="H46" s="203">
        <v>168.88990400000012</v>
      </c>
      <c r="I46" s="203">
        <v>2554.1962711548326</v>
      </c>
      <c r="J46" s="199">
        <v>1.2833640712327418E-2</v>
      </c>
      <c r="K46" s="201"/>
    </row>
    <row r="47" spans="1:11" x14ac:dyDescent="0.25">
      <c r="A47" s="99" t="s">
        <v>325</v>
      </c>
      <c r="B47" s="205" t="s">
        <v>525</v>
      </c>
      <c r="C47" s="202">
        <v>16</v>
      </c>
      <c r="D47" s="202">
        <v>11</v>
      </c>
      <c r="E47" s="202">
        <v>5</v>
      </c>
      <c r="F47" s="202">
        <v>16</v>
      </c>
      <c r="G47" s="203">
        <v>33.151586518978327</v>
      </c>
      <c r="H47" s="203">
        <v>18</v>
      </c>
      <c r="I47" s="203">
        <v>51.151586518978327</v>
      </c>
      <c r="J47" s="199">
        <v>2.5701277958302388E-4</v>
      </c>
      <c r="K47" s="201"/>
    </row>
    <row r="48" spans="1:11" x14ac:dyDescent="0.25">
      <c r="A48" s="99" t="s">
        <v>324</v>
      </c>
      <c r="B48" s="205" t="s">
        <v>59</v>
      </c>
      <c r="C48" s="202">
        <v>1287</v>
      </c>
      <c r="D48" s="202">
        <v>976</v>
      </c>
      <c r="E48" s="202">
        <v>38</v>
      </c>
      <c r="F48" s="202">
        <v>1014</v>
      </c>
      <c r="G48" s="203">
        <v>3373.2527627787522</v>
      </c>
      <c r="H48" s="203">
        <v>165.48738400000008</v>
      </c>
      <c r="I48" s="203">
        <v>3538.7401467787522</v>
      </c>
      <c r="J48" s="199">
        <v>1.7780512848965119E-2</v>
      </c>
      <c r="K48" s="201"/>
    </row>
    <row r="49" spans="1:11" x14ac:dyDescent="0.25">
      <c r="A49" s="99" t="s">
        <v>318</v>
      </c>
      <c r="B49" s="205" t="s">
        <v>60</v>
      </c>
      <c r="C49" s="202">
        <v>1764</v>
      </c>
      <c r="D49" s="202">
        <v>1260</v>
      </c>
      <c r="E49" s="202">
        <v>65</v>
      </c>
      <c r="F49" s="202">
        <v>1325</v>
      </c>
      <c r="G49" s="203">
        <v>4401.4687267588452</v>
      </c>
      <c r="H49" s="203">
        <v>282.61680000000035</v>
      </c>
      <c r="I49" s="203">
        <v>4684.0855267588458</v>
      </c>
      <c r="J49" s="199">
        <v>2.3535337278155436E-2</v>
      </c>
      <c r="K49" s="201"/>
    </row>
    <row r="50" spans="1:11" x14ac:dyDescent="0.25">
      <c r="A50" s="99" t="s">
        <v>338</v>
      </c>
      <c r="B50" s="205" t="s">
        <v>61</v>
      </c>
      <c r="C50" s="202">
        <v>45</v>
      </c>
      <c r="D50" s="202">
        <v>43</v>
      </c>
      <c r="E50" s="202">
        <v>0</v>
      </c>
      <c r="F50" s="202">
        <v>43</v>
      </c>
      <c r="G50" s="203">
        <v>96.040911786554418</v>
      </c>
      <c r="H50" s="203">
        <v>0</v>
      </c>
      <c r="I50" s="203">
        <v>96.040911786554418</v>
      </c>
      <c r="J50" s="199">
        <v>4.8256062757295236E-4</v>
      </c>
      <c r="K50" s="201"/>
    </row>
    <row r="51" spans="1:11" x14ac:dyDescent="0.25">
      <c r="A51" s="99" t="s">
        <v>337</v>
      </c>
      <c r="B51" s="205" t="s">
        <v>62</v>
      </c>
      <c r="C51" s="202">
        <v>194</v>
      </c>
      <c r="D51" s="202">
        <v>74</v>
      </c>
      <c r="E51" s="202">
        <v>1</v>
      </c>
      <c r="F51" s="202">
        <v>75</v>
      </c>
      <c r="G51" s="203">
        <v>345.30701247538843</v>
      </c>
      <c r="H51" s="203">
        <v>3.03125</v>
      </c>
      <c r="I51" s="203">
        <v>348.33826247538843</v>
      </c>
      <c r="J51" s="199">
        <v>1.7502367212149708E-3</v>
      </c>
      <c r="K51" s="201"/>
    </row>
    <row r="52" spans="1:11" x14ac:dyDescent="0.25">
      <c r="A52" s="99" t="s">
        <v>336</v>
      </c>
      <c r="B52" s="205" t="s">
        <v>63</v>
      </c>
      <c r="C52" s="202">
        <v>804</v>
      </c>
      <c r="D52" s="202">
        <v>673</v>
      </c>
      <c r="E52" s="202">
        <v>13</v>
      </c>
      <c r="F52" s="202">
        <v>686</v>
      </c>
      <c r="G52" s="203">
        <v>1944.4506818511807</v>
      </c>
      <c r="H52" s="203">
        <v>46.486176000000007</v>
      </c>
      <c r="I52" s="203">
        <v>1990.9368578511808</v>
      </c>
      <c r="J52" s="199">
        <v>1.0003525806981051E-2</v>
      </c>
      <c r="K52" s="201"/>
    </row>
    <row r="53" spans="1:11" x14ac:dyDescent="0.25">
      <c r="A53" s="99" t="s">
        <v>335</v>
      </c>
      <c r="B53" s="205" t="s">
        <v>64</v>
      </c>
      <c r="C53" s="202">
        <v>50</v>
      </c>
      <c r="D53" s="202">
        <v>44</v>
      </c>
      <c r="E53" s="202">
        <v>3</v>
      </c>
      <c r="F53" s="202">
        <v>47</v>
      </c>
      <c r="G53" s="203">
        <v>118.00110139068092</v>
      </c>
      <c r="H53" s="203">
        <v>10.204079999999999</v>
      </c>
      <c r="I53" s="203">
        <v>128.20518139068091</v>
      </c>
      <c r="J53" s="199">
        <v>6.4417102710859968E-4</v>
      </c>
      <c r="K53" s="201"/>
    </row>
    <row r="54" spans="1:11" x14ac:dyDescent="0.25">
      <c r="A54" s="99" t="s">
        <v>334</v>
      </c>
      <c r="B54" s="205" t="s">
        <v>65</v>
      </c>
      <c r="C54" s="202">
        <v>12</v>
      </c>
      <c r="D54" s="202">
        <v>6</v>
      </c>
      <c r="E54" s="202">
        <v>0</v>
      </c>
      <c r="F54" s="202">
        <v>6</v>
      </c>
      <c r="G54" s="203">
        <v>31.004356403274151</v>
      </c>
      <c r="H54" s="203">
        <v>0</v>
      </c>
      <c r="I54" s="203">
        <v>31.004356403274151</v>
      </c>
      <c r="J54" s="199">
        <v>1.5578237862537707E-4</v>
      </c>
      <c r="K54" s="201"/>
    </row>
    <row r="55" spans="1:11" x14ac:dyDescent="0.25">
      <c r="A55" s="99" t="s">
        <v>333</v>
      </c>
      <c r="B55" s="205" t="s">
        <v>147</v>
      </c>
      <c r="C55" s="202">
        <v>16</v>
      </c>
      <c r="D55" s="202">
        <v>16</v>
      </c>
      <c r="E55" s="202">
        <v>0</v>
      </c>
      <c r="F55" s="202">
        <v>16</v>
      </c>
      <c r="G55" s="203">
        <v>41.160390765666165</v>
      </c>
      <c r="H55" s="203">
        <v>0</v>
      </c>
      <c r="I55" s="203">
        <v>41.160390765666165</v>
      </c>
      <c r="J55" s="199">
        <v>2.0681169753126522E-4</v>
      </c>
      <c r="K55" s="201"/>
    </row>
    <row r="56" spans="1:11" x14ac:dyDescent="0.25">
      <c r="A56" s="99" t="s">
        <v>331</v>
      </c>
      <c r="B56" s="205" t="s">
        <v>66</v>
      </c>
      <c r="C56" s="202">
        <v>41</v>
      </c>
      <c r="D56" s="202">
        <v>28</v>
      </c>
      <c r="E56" s="202">
        <v>1</v>
      </c>
      <c r="F56" s="202">
        <v>29</v>
      </c>
      <c r="G56" s="203">
        <v>96.792349208462994</v>
      </c>
      <c r="H56" s="203">
        <v>4.2051280000000002</v>
      </c>
      <c r="I56" s="203">
        <v>100.997477208463</v>
      </c>
      <c r="J56" s="199">
        <v>5.0746504878376242E-4</v>
      </c>
      <c r="K56" s="201"/>
    </row>
    <row r="57" spans="1:11" x14ac:dyDescent="0.25">
      <c r="A57" s="99" t="s">
        <v>330</v>
      </c>
      <c r="B57" s="205" t="s">
        <v>67</v>
      </c>
      <c r="C57" s="202">
        <v>979</v>
      </c>
      <c r="D57" s="202">
        <v>634</v>
      </c>
      <c r="E57" s="202">
        <v>35</v>
      </c>
      <c r="F57" s="202">
        <v>669</v>
      </c>
      <c r="G57" s="203">
        <v>2550.9253374639438</v>
      </c>
      <c r="H57" s="203">
        <v>152.39149199999994</v>
      </c>
      <c r="I57" s="203">
        <v>2703.3168294639436</v>
      </c>
      <c r="J57" s="199">
        <v>1.3582901718528608E-2</v>
      </c>
      <c r="K57" s="201"/>
    </row>
    <row r="58" spans="1:11" x14ac:dyDescent="0.25">
      <c r="A58" s="99" t="s">
        <v>329</v>
      </c>
      <c r="B58" s="205" t="s">
        <v>68</v>
      </c>
      <c r="C58" s="202">
        <v>2589</v>
      </c>
      <c r="D58" s="202">
        <v>1903</v>
      </c>
      <c r="E58" s="202">
        <v>75</v>
      </c>
      <c r="F58" s="202">
        <v>1978</v>
      </c>
      <c r="G58" s="203">
        <v>6803.5494078167358</v>
      </c>
      <c r="H58" s="203">
        <v>296.89844000000045</v>
      </c>
      <c r="I58" s="203">
        <v>7100.4478478167366</v>
      </c>
      <c r="J58" s="199">
        <v>3.5676426907591624E-2</v>
      </c>
      <c r="K58" s="201"/>
    </row>
    <row r="59" spans="1:11" x14ac:dyDescent="0.25">
      <c r="A59" s="99" t="s">
        <v>297</v>
      </c>
      <c r="B59" s="205" t="s">
        <v>530</v>
      </c>
      <c r="C59" s="202">
        <v>3087</v>
      </c>
      <c r="D59" s="202">
        <v>2218</v>
      </c>
      <c r="E59" s="202">
        <v>121</v>
      </c>
      <c r="F59" s="202">
        <v>2339</v>
      </c>
      <c r="G59" s="203">
        <v>8097.7134472553107</v>
      </c>
      <c r="H59" s="203">
        <v>515.42558400000075</v>
      </c>
      <c r="I59" s="203">
        <v>8613.1390312553121</v>
      </c>
      <c r="J59" s="199">
        <v>4.327699205452086E-2</v>
      </c>
      <c r="K59" s="201"/>
    </row>
    <row r="60" spans="1:11" x14ac:dyDescent="0.25">
      <c r="A60" s="99" t="s">
        <v>328</v>
      </c>
      <c r="B60" s="205" t="s">
        <v>69</v>
      </c>
      <c r="C60" s="202">
        <v>928</v>
      </c>
      <c r="D60" s="202">
        <v>669</v>
      </c>
      <c r="E60" s="202">
        <v>28</v>
      </c>
      <c r="F60" s="202">
        <v>697</v>
      </c>
      <c r="G60" s="203">
        <v>2419.3186349117373</v>
      </c>
      <c r="H60" s="203">
        <v>117.731256</v>
      </c>
      <c r="I60" s="203">
        <v>2537.0498909117373</v>
      </c>
      <c r="J60" s="199">
        <v>1.2747488177362928E-2</v>
      </c>
      <c r="K60" s="201"/>
    </row>
    <row r="61" spans="1:11" x14ac:dyDescent="0.25">
      <c r="A61" s="99" t="s">
        <v>327</v>
      </c>
      <c r="B61" s="205" t="s">
        <v>70</v>
      </c>
      <c r="C61" s="202">
        <v>169</v>
      </c>
      <c r="D61" s="202">
        <v>104</v>
      </c>
      <c r="E61" s="202">
        <v>4</v>
      </c>
      <c r="F61" s="202">
        <v>108</v>
      </c>
      <c r="G61" s="203">
        <v>379.5492207069272</v>
      </c>
      <c r="H61" s="203">
        <v>15.773323999999999</v>
      </c>
      <c r="I61" s="203">
        <v>395.3225447069272</v>
      </c>
      <c r="J61" s="199">
        <v>1.9863107473560909E-3</v>
      </c>
      <c r="K61" s="201"/>
    </row>
    <row r="62" spans="1:11" x14ac:dyDescent="0.25">
      <c r="A62" s="99" t="s">
        <v>326</v>
      </c>
      <c r="B62" s="205" t="s">
        <v>71</v>
      </c>
      <c r="C62" s="202">
        <v>987</v>
      </c>
      <c r="D62" s="202">
        <v>675</v>
      </c>
      <c r="E62" s="202">
        <v>37</v>
      </c>
      <c r="F62" s="202">
        <v>712</v>
      </c>
      <c r="G62" s="203">
        <v>2530.4087140122697</v>
      </c>
      <c r="H62" s="203">
        <v>152.70977600000001</v>
      </c>
      <c r="I62" s="203">
        <v>2683.1184900122698</v>
      </c>
      <c r="J62" s="199">
        <v>1.3481414517080613E-2</v>
      </c>
      <c r="K62" s="201"/>
    </row>
    <row r="63" spans="1:11" x14ac:dyDescent="0.25">
      <c r="A63" s="99" t="s">
        <v>322</v>
      </c>
      <c r="B63" s="205" t="s">
        <v>72</v>
      </c>
      <c r="C63" s="202">
        <v>44</v>
      </c>
      <c r="D63" s="202">
        <v>37</v>
      </c>
      <c r="E63" s="202">
        <v>0</v>
      </c>
      <c r="F63" s="202">
        <v>37</v>
      </c>
      <c r="G63" s="203">
        <v>111.29200152104845</v>
      </c>
      <c r="H63" s="203">
        <v>0</v>
      </c>
      <c r="I63" s="203">
        <v>111.29200152104845</v>
      </c>
      <c r="J63" s="199">
        <v>5.5919021486597071E-4</v>
      </c>
      <c r="K63" s="201"/>
    </row>
    <row r="64" spans="1:11" x14ac:dyDescent="0.25">
      <c r="A64" s="99" t="s">
        <v>321</v>
      </c>
      <c r="B64" s="205" t="s">
        <v>73</v>
      </c>
      <c r="C64" s="202">
        <v>19</v>
      </c>
      <c r="D64" s="202">
        <v>9</v>
      </c>
      <c r="E64" s="202">
        <v>6</v>
      </c>
      <c r="F64" s="202">
        <v>15</v>
      </c>
      <c r="G64" s="203">
        <v>29.336330009409359</v>
      </c>
      <c r="H64" s="203">
        <v>22.35294</v>
      </c>
      <c r="I64" s="203">
        <v>51.689270009409356</v>
      </c>
      <c r="J64" s="199">
        <v>2.5971438744733341E-4</v>
      </c>
      <c r="K64" s="201"/>
    </row>
    <row r="65" spans="1:11" x14ac:dyDescent="0.25">
      <c r="A65" s="99" t="s">
        <v>320</v>
      </c>
      <c r="B65" s="205" t="s">
        <v>74</v>
      </c>
      <c r="C65" s="202">
        <v>32</v>
      </c>
      <c r="D65" s="202">
        <v>22</v>
      </c>
      <c r="E65" s="202">
        <v>1</v>
      </c>
      <c r="F65" s="202">
        <v>23</v>
      </c>
      <c r="G65" s="203">
        <v>89.994148704099473</v>
      </c>
      <c r="H65" s="203">
        <v>4.571428</v>
      </c>
      <c r="I65" s="203">
        <v>94.56557670409947</v>
      </c>
      <c r="J65" s="199">
        <v>4.7514775934808488E-4</v>
      </c>
      <c r="K65" s="201"/>
    </row>
    <row r="66" spans="1:11" x14ac:dyDescent="0.25">
      <c r="A66" s="99" t="s">
        <v>319</v>
      </c>
      <c r="B66" s="205" t="s">
        <v>75</v>
      </c>
      <c r="C66" s="202">
        <v>93</v>
      </c>
      <c r="D66" s="202">
        <v>71</v>
      </c>
      <c r="E66" s="202">
        <v>5</v>
      </c>
      <c r="F66" s="202">
        <v>76</v>
      </c>
      <c r="G66" s="203">
        <v>228.78737573392891</v>
      </c>
      <c r="H66" s="203">
        <v>17.302320000000002</v>
      </c>
      <c r="I66" s="203">
        <v>246.08969573392892</v>
      </c>
      <c r="J66" s="199">
        <v>1.23648553312909E-3</v>
      </c>
      <c r="K66" s="201"/>
    </row>
    <row r="67" spans="1:11" x14ac:dyDescent="0.25">
      <c r="A67" s="99" t="s">
        <v>317</v>
      </c>
      <c r="B67" s="205" t="s">
        <v>164</v>
      </c>
      <c r="C67" s="202">
        <v>13</v>
      </c>
      <c r="D67" s="202">
        <v>10</v>
      </c>
      <c r="E67" s="202">
        <v>0</v>
      </c>
      <c r="F67" s="202">
        <v>10</v>
      </c>
      <c r="G67" s="203">
        <v>27.008480313657547</v>
      </c>
      <c r="H67" s="203">
        <v>0</v>
      </c>
      <c r="I67" s="203">
        <v>27.008480313657547</v>
      </c>
      <c r="J67" s="199">
        <v>1.3570497163662858E-4</v>
      </c>
      <c r="K67" s="201"/>
    </row>
    <row r="68" spans="1:11" x14ac:dyDescent="0.25">
      <c r="A68" s="99" t="s">
        <v>361</v>
      </c>
      <c r="B68" s="205" t="s">
        <v>76</v>
      </c>
      <c r="C68" s="202">
        <v>39</v>
      </c>
      <c r="D68" s="202">
        <v>32</v>
      </c>
      <c r="E68" s="202">
        <v>2</v>
      </c>
      <c r="F68" s="202">
        <v>34</v>
      </c>
      <c r="G68" s="203">
        <v>94.545035385106601</v>
      </c>
      <c r="H68" s="203">
        <v>8.2105200000000007</v>
      </c>
      <c r="I68" s="203">
        <v>102.7555553851066</v>
      </c>
      <c r="J68" s="199">
        <v>5.1629856871252911E-4</v>
      </c>
      <c r="K68" s="201"/>
    </row>
    <row r="69" spans="1:11" x14ac:dyDescent="0.25">
      <c r="A69" s="99" t="s">
        <v>316</v>
      </c>
      <c r="B69" s="205" t="s">
        <v>77</v>
      </c>
      <c r="C69" s="202">
        <v>25</v>
      </c>
      <c r="D69" s="202">
        <v>18</v>
      </c>
      <c r="E69" s="202">
        <v>0</v>
      </c>
      <c r="F69" s="202">
        <v>18</v>
      </c>
      <c r="G69" s="203">
        <v>62.717788843186874</v>
      </c>
      <c r="H69" s="203">
        <v>0</v>
      </c>
      <c r="I69" s="203">
        <v>62.717788843186874</v>
      </c>
      <c r="J69" s="199">
        <v>3.1512753243553902E-4</v>
      </c>
      <c r="K69" s="201"/>
    </row>
    <row r="70" spans="1:11" x14ac:dyDescent="0.25">
      <c r="A70" s="99" t="s">
        <v>315</v>
      </c>
      <c r="B70" s="205" t="s">
        <v>78</v>
      </c>
      <c r="C70" s="202">
        <v>18</v>
      </c>
      <c r="D70" s="202">
        <v>9</v>
      </c>
      <c r="E70" s="202">
        <v>7</v>
      </c>
      <c r="F70" s="202">
        <v>16</v>
      </c>
      <c r="G70" s="203">
        <v>28.028381503946967</v>
      </c>
      <c r="H70" s="203">
        <v>24.75</v>
      </c>
      <c r="I70" s="203">
        <v>52.778381503946967</v>
      </c>
      <c r="J70" s="199">
        <v>2.6518666292373684E-4</v>
      </c>
      <c r="K70" s="201"/>
    </row>
    <row r="71" spans="1:11" x14ac:dyDescent="0.25">
      <c r="A71" s="99" t="s">
        <v>313</v>
      </c>
      <c r="B71" s="205" t="s">
        <v>79</v>
      </c>
      <c r="C71" s="202">
        <v>528</v>
      </c>
      <c r="D71" s="202">
        <v>401</v>
      </c>
      <c r="E71" s="202">
        <v>17</v>
      </c>
      <c r="F71" s="202">
        <v>418</v>
      </c>
      <c r="G71" s="203">
        <v>1270.506927335713</v>
      </c>
      <c r="H71" s="203">
        <v>72.600000000000009</v>
      </c>
      <c r="I71" s="203">
        <v>1343.106927335713</v>
      </c>
      <c r="J71" s="199">
        <v>6.7484836378181772E-3</v>
      </c>
      <c r="K71" s="201"/>
    </row>
    <row r="72" spans="1:11" x14ac:dyDescent="0.25">
      <c r="A72" s="99" t="s">
        <v>311</v>
      </c>
      <c r="B72" s="205" t="s">
        <v>80</v>
      </c>
      <c r="C72" s="202">
        <v>596</v>
      </c>
      <c r="D72" s="202">
        <v>456</v>
      </c>
      <c r="E72" s="202">
        <v>18</v>
      </c>
      <c r="F72" s="202">
        <v>474</v>
      </c>
      <c r="G72" s="203">
        <v>1644.0028473430064</v>
      </c>
      <c r="H72" s="203">
        <v>82.206863999999996</v>
      </c>
      <c r="I72" s="203">
        <v>1726.2097113430063</v>
      </c>
      <c r="J72" s="199">
        <v>8.6733958073982476E-3</v>
      </c>
      <c r="K72" s="201"/>
    </row>
    <row r="73" spans="1:11" x14ac:dyDescent="0.25">
      <c r="A73" s="99" t="s">
        <v>310</v>
      </c>
      <c r="B73" s="205" t="s">
        <v>81</v>
      </c>
      <c r="C73" s="202">
        <v>985</v>
      </c>
      <c r="D73" s="202">
        <v>766</v>
      </c>
      <c r="E73" s="202">
        <v>26</v>
      </c>
      <c r="F73" s="202">
        <v>792</v>
      </c>
      <c r="G73" s="203">
        <v>2713.480162610002</v>
      </c>
      <c r="H73" s="203">
        <v>112.82929999999996</v>
      </c>
      <c r="I73" s="203">
        <v>2826.3094626100019</v>
      </c>
      <c r="J73" s="199">
        <v>1.4200882130560899E-2</v>
      </c>
      <c r="K73" s="201"/>
    </row>
    <row r="74" spans="1:11" x14ac:dyDescent="0.25">
      <c r="A74" s="99" t="s">
        <v>309</v>
      </c>
      <c r="B74" s="205" t="s">
        <v>82</v>
      </c>
      <c r="C74" s="202">
        <v>2030</v>
      </c>
      <c r="D74" s="202">
        <v>1553</v>
      </c>
      <c r="E74" s="202">
        <v>64</v>
      </c>
      <c r="F74" s="202">
        <v>1617</v>
      </c>
      <c r="G74" s="203">
        <v>5234.3025293749251</v>
      </c>
      <c r="H74" s="203">
        <v>261.51360000000034</v>
      </c>
      <c r="I74" s="203">
        <v>5495.8161293749254</v>
      </c>
      <c r="J74" s="199">
        <v>2.7613903607150082E-2</v>
      </c>
      <c r="K74" s="201"/>
    </row>
    <row r="75" spans="1:11" x14ac:dyDescent="0.25">
      <c r="A75" s="99" t="s">
        <v>307</v>
      </c>
      <c r="B75" s="205" t="s">
        <v>83</v>
      </c>
      <c r="C75" s="202">
        <v>79</v>
      </c>
      <c r="D75" s="202">
        <v>52</v>
      </c>
      <c r="E75" s="202">
        <v>2</v>
      </c>
      <c r="F75" s="202">
        <v>54</v>
      </c>
      <c r="G75" s="203">
        <v>159.32955395188065</v>
      </c>
      <c r="H75" s="203">
        <v>4.5797080000000001</v>
      </c>
      <c r="I75" s="203">
        <v>163.90926195188067</v>
      </c>
      <c r="J75" s="199">
        <v>8.2356731981372464E-4</v>
      </c>
      <c r="K75" s="201"/>
    </row>
    <row r="76" spans="1:11" x14ac:dyDescent="0.25">
      <c r="A76" s="99" t="s">
        <v>303</v>
      </c>
      <c r="B76" s="205" t="s">
        <v>84</v>
      </c>
      <c r="C76" s="202">
        <v>71</v>
      </c>
      <c r="D76" s="202">
        <v>70</v>
      </c>
      <c r="E76" s="202">
        <v>0</v>
      </c>
      <c r="F76" s="202">
        <v>70</v>
      </c>
      <c r="G76" s="203">
        <v>139.16132116010948</v>
      </c>
      <c r="H76" s="203">
        <v>0</v>
      </c>
      <c r="I76" s="203">
        <v>139.16132116010948</v>
      </c>
      <c r="J76" s="199">
        <v>6.9922050117713513E-4</v>
      </c>
      <c r="K76" s="201"/>
    </row>
    <row r="77" spans="1:11" x14ac:dyDescent="0.25">
      <c r="A77" s="99" t="s">
        <v>305</v>
      </c>
      <c r="B77" s="205" t="s">
        <v>86</v>
      </c>
      <c r="C77" s="202">
        <v>107</v>
      </c>
      <c r="D77" s="202">
        <v>90</v>
      </c>
      <c r="E77" s="202">
        <v>0</v>
      </c>
      <c r="F77" s="202">
        <v>90</v>
      </c>
      <c r="G77" s="203">
        <v>312.35989905577367</v>
      </c>
      <c r="H77" s="203">
        <v>0</v>
      </c>
      <c r="I77" s="203">
        <v>312.35989905577367</v>
      </c>
      <c r="J77" s="199">
        <v>1.5694622855307015E-3</v>
      </c>
      <c r="K77" s="201"/>
    </row>
    <row r="78" spans="1:11" x14ac:dyDescent="0.25">
      <c r="A78" s="99" t="s">
        <v>342</v>
      </c>
      <c r="B78" s="205" t="s">
        <v>532</v>
      </c>
      <c r="C78" s="202">
        <v>306</v>
      </c>
      <c r="D78" s="202">
        <v>228</v>
      </c>
      <c r="E78" s="202">
        <v>7</v>
      </c>
      <c r="F78" s="202">
        <v>235</v>
      </c>
      <c r="G78" s="203">
        <v>858.40036102187594</v>
      </c>
      <c r="H78" s="203">
        <v>27.301104000000002</v>
      </c>
      <c r="I78" s="203">
        <v>885.70146502187595</v>
      </c>
      <c r="J78" s="199">
        <v>4.4502352888227759E-3</v>
      </c>
      <c r="K78" s="201"/>
    </row>
    <row r="79" spans="1:11" x14ac:dyDescent="0.25">
      <c r="A79" s="99" t="s">
        <v>299</v>
      </c>
      <c r="B79" s="205" t="s">
        <v>87</v>
      </c>
      <c r="C79" s="202">
        <v>535</v>
      </c>
      <c r="D79" s="202">
        <v>450</v>
      </c>
      <c r="E79" s="202">
        <v>20</v>
      </c>
      <c r="F79" s="202">
        <v>470</v>
      </c>
      <c r="G79" s="203">
        <v>1511.7829074843241</v>
      </c>
      <c r="H79" s="203">
        <v>87.346880000000027</v>
      </c>
      <c r="I79" s="203">
        <v>1599.1297874843242</v>
      </c>
      <c r="J79" s="199">
        <v>8.0348786726853107E-3</v>
      </c>
      <c r="K79" s="201"/>
    </row>
    <row r="80" spans="1:11" x14ac:dyDescent="0.25">
      <c r="A80" s="99" t="s">
        <v>298</v>
      </c>
      <c r="B80" s="205" t="s">
        <v>88</v>
      </c>
      <c r="C80" s="202">
        <v>20</v>
      </c>
      <c r="D80" s="202">
        <v>12</v>
      </c>
      <c r="E80" s="202">
        <v>6</v>
      </c>
      <c r="F80" s="202">
        <v>18</v>
      </c>
      <c r="G80" s="203">
        <v>47.446261170966068</v>
      </c>
      <c r="H80" s="203">
        <v>24.444442000000002</v>
      </c>
      <c r="I80" s="203">
        <v>71.890703170966077</v>
      </c>
      <c r="J80" s="199">
        <v>3.6121713333940884E-4</v>
      </c>
      <c r="K80" s="201"/>
    </row>
    <row r="81" spans="1:11" x14ac:dyDescent="0.25">
      <c r="A81" s="99" t="s">
        <v>294</v>
      </c>
      <c r="B81" s="205" t="s">
        <v>90</v>
      </c>
      <c r="C81" s="202">
        <v>9</v>
      </c>
      <c r="D81" s="202">
        <v>3</v>
      </c>
      <c r="E81" s="202">
        <v>3</v>
      </c>
      <c r="F81" s="202">
        <v>6</v>
      </c>
      <c r="G81" s="203">
        <v>13.230125603249839</v>
      </c>
      <c r="H81" s="203">
        <v>13.5</v>
      </c>
      <c r="I81" s="203">
        <v>26.730125603249839</v>
      </c>
      <c r="J81" s="199">
        <v>1.3430636950714488E-4</v>
      </c>
      <c r="K81" s="201"/>
    </row>
    <row r="82" spans="1:11" x14ac:dyDescent="0.25">
      <c r="A82" s="99" t="s">
        <v>293</v>
      </c>
      <c r="B82" s="205" t="s">
        <v>91</v>
      </c>
      <c r="C82" s="202">
        <v>82</v>
      </c>
      <c r="D82" s="202">
        <v>72</v>
      </c>
      <c r="E82" s="202">
        <v>0</v>
      </c>
      <c r="F82" s="202">
        <v>72</v>
      </c>
      <c r="G82" s="203">
        <v>162.75586836038681</v>
      </c>
      <c r="H82" s="203">
        <v>0</v>
      </c>
      <c r="I82" s="203">
        <v>162.75586836038681</v>
      </c>
      <c r="J82" s="199">
        <v>8.1777205688882788E-4</v>
      </c>
      <c r="K82" s="201"/>
    </row>
    <row r="83" spans="1:11" x14ac:dyDescent="0.25">
      <c r="A83" s="99" t="s">
        <v>292</v>
      </c>
      <c r="B83" s="205" t="s">
        <v>92</v>
      </c>
      <c r="C83" s="202">
        <v>83</v>
      </c>
      <c r="D83" s="202">
        <v>69</v>
      </c>
      <c r="E83" s="202">
        <v>1</v>
      </c>
      <c r="F83" s="202">
        <v>70</v>
      </c>
      <c r="G83" s="203">
        <v>166.85277765534039</v>
      </c>
      <c r="H83" s="203">
        <v>2.1282040000000002</v>
      </c>
      <c r="I83" s="203">
        <v>168.9809816553404</v>
      </c>
      <c r="J83" s="199">
        <v>8.4905033738872304E-4</v>
      </c>
      <c r="K83" s="201"/>
    </row>
    <row r="84" spans="1:11" x14ac:dyDescent="0.25">
      <c r="A84" s="99" t="s">
        <v>291</v>
      </c>
      <c r="B84" s="205" t="s">
        <v>93</v>
      </c>
      <c r="C84" s="202">
        <v>399</v>
      </c>
      <c r="D84" s="202">
        <v>300</v>
      </c>
      <c r="E84" s="202">
        <v>8</v>
      </c>
      <c r="F84" s="202">
        <v>308</v>
      </c>
      <c r="G84" s="203">
        <v>1019.0932421062591</v>
      </c>
      <c r="H84" s="203">
        <v>33.813540000000003</v>
      </c>
      <c r="I84" s="203">
        <v>1052.9067821062592</v>
      </c>
      <c r="J84" s="199">
        <v>5.2903637428830235E-3</v>
      </c>
      <c r="K84" s="201"/>
    </row>
    <row r="85" spans="1:11" x14ac:dyDescent="0.25">
      <c r="A85" s="99" t="s">
        <v>290</v>
      </c>
      <c r="B85" s="205" t="s">
        <v>94</v>
      </c>
      <c r="C85" s="202">
        <v>588</v>
      </c>
      <c r="D85" s="202">
        <v>467</v>
      </c>
      <c r="E85" s="202">
        <v>9</v>
      </c>
      <c r="F85" s="202">
        <v>476</v>
      </c>
      <c r="G85" s="203">
        <v>1587.9735872336385</v>
      </c>
      <c r="H85" s="203">
        <v>31.419836000000004</v>
      </c>
      <c r="I85" s="203">
        <v>1619.3934232336385</v>
      </c>
      <c r="J85" s="199">
        <v>8.1366939574655187E-3</v>
      </c>
      <c r="K85" s="201"/>
    </row>
    <row r="86" spans="1:11" x14ac:dyDescent="0.25">
      <c r="A86" s="99" t="s">
        <v>289</v>
      </c>
      <c r="B86" s="205" t="s">
        <v>95</v>
      </c>
      <c r="C86" s="202">
        <v>27</v>
      </c>
      <c r="D86" s="202">
        <v>17</v>
      </c>
      <c r="E86" s="202">
        <v>3</v>
      </c>
      <c r="F86" s="202">
        <v>20</v>
      </c>
      <c r="G86" s="203">
        <v>76.154307334376625</v>
      </c>
      <c r="H86" s="203">
        <v>13.5</v>
      </c>
      <c r="I86" s="203">
        <v>89.654307334376625</v>
      </c>
      <c r="J86" s="199">
        <v>4.5047092959765066E-4</v>
      </c>
      <c r="K86" s="201"/>
    </row>
    <row r="87" spans="1:11" x14ac:dyDescent="0.25">
      <c r="A87" s="99" t="s">
        <v>296</v>
      </c>
      <c r="B87" s="205" t="s">
        <v>96</v>
      </c>
      <c r="C87" s="202">
        <v>2170</v>
      </c>
      <c r="D87" s="202">
        <v>1457</v>
      </c>
      <c r="E87" s="202">
        <v>82</v>
      </c>
      <c r="F87" s="202">
        <v>1539</v>
      </c>
      <c r="G87" s="203">
        <v>5712.9057624420875</v>
      </c>
      <c r="H87" s="203">
        <v>345.09721200000007</v>
      </c>
      <c r="I87" s="203">
        <v>6058.0029744420872</v>
      </c>
      <c r="J87" s="199">
        <v>3.0438629359148282E-2</v>
      </c>
      <c r="K87" s="201"/>
    </row>
    <row r="88" spans="1:11" x14ac:dyDescent="0.25">
      <c r="A88" s="99" t="s">
        <v>286</v>
      </c>
      <c r="B88" s="205" t="s">
        <v>97</v>
      </c>
      <c r="C88" s="202">
        <v>48</v>
      </c>
      <c r="D88" s="202">
        <v>31</v>
      </c>
      <c r="E88" s="202">
        <v>0</v>
      </c>
      <c r="F88" s="202">
        <v>31</v>
      </c>
      <c r="G88" s="203">
        <v>108.26366593172433</v>
      </c>
      <c r="H88" s="203">
        <v>0</v>
      </c>
      <c r="I88" s="203">
        <v>108.26366593172433</v>
      </c>
      <c r="J88" s="199">
        <v>5.439742460116399E-4</v>
      </c>
      <c r="K88" s="201"/>
    </row>
    <row r="89" spans="1:11" x14ac:dyDescent="0.25">
      <c r="A89" s="99" t="s">
        <v>285</v>
      </c>
      <c r="B89" s="205" t="s">
        <v>98</v>
      </c>
      <c r="C89" s="202">
        <v>23</v>
      </c>
      <c r="D89" s="202">
        <v>20</v>
      </c>
      <c r="E89" s="202">
        <v>0</v>
      </c>
      <c r="F89" s="202">
        <v>20</v>
      </c>
      <c r="G89" s="203">
        <v>66.341842914717247</v>
      </c>
      <c r="H89" s="203">
        <v>0</v>
      </c>
      <c r="I89" s="203">
        <v>66.341842914717247</v>
      </c>
      <c r="J89" s="199">
        <v>3.333367078232392E-4</v>
      </c>
      <c r="K89" s="201"/>
    </row>
    <row r="90" spans="1:11" x14ac:dyDescent="0.25">
      <c r="A90" s="99" t="s">
        <v>284</v>
      </c>
      <c r="B90" s="205" t="s">
        <v>99</v>
      </c>
      <c r="C90" s="202">
        <v>128</v>
      </c>
      <c r="D90" s="202">
        <v>118</v>
      </c>
      <c r="E90" s="202">
        <v>0</v>
      </c>
      <c r="F90" s="202">
        <v>118</v>
      </c>
      <c r="G90" s="203">
        <v>291.0179918359072</v>
      </c>
      <c r="H90" s="203">
        <v>0</v>
      </c>
      <c r="I90" s="203">
        <v>291.0179918359072</v>
      </c>
      <c r="J90" s="199">
        <v>1.4622291913206954E-3</v>
      </c>
      <c r="K90" s="201"/>
    </row>
    <row r="91" spans="1:11" x14ac:dyDescent="0.25">
      <c r="A91" s="99" t="s">
        <v>288</v>
      </c>
      <c r="B91" s="205" t="s">
        <v>100</v>
      </c>
      <c r="C91" s="202">
        <v>54</v>
      </c>
      <c r="D91" s="202">
        <v>30</v>
      </c>
      <c r="E91" s="202">
        <v>8</v>
      </c>
      <c r="F91" s="202">
        <v>38</v>
      </c>
      <c r="G91" s="203">
        <v>108.30234131326445</v>
      </c>
      <c r="H91" s="203">
        <v>32.651138000000003</v>
      </c>
      <c r="I91" s="203">
        <v>140.95347931326444</v>
      </c>
      <c r="J91" s="199">
        <v>7.0822525703595571E-4</v>
      </c>
      <c r="K91" s="201"/>
    </row>
    <row r="92" spans="1:11" x14ac:dyDescent="0.25">
      <c r="A92" s="99" t="s">
        <v>287</v>
      </c>
      <c r="B92" s="205" t="s">
        <v>101</v>
      </c>
      <c r="C92" s="202">
        <v>49</v>
      </c>
      <c r="D92" s="202">
        <v>35</v>
      </c>
      <c r="E92" s="202">
        <v>2</v>
      </c>
      <c r="F92" s="202">
        <v>37</v>
      </c>
      <c r="G92" s="203">
        <v>129.71583534706662</v>
      </c>
      <c r="H92" s="203">
        <v>6.5333280000000009</v>
      </c>
      <c r="I92" s="203">
        <v>136.24916334706663</v>
      </c>
      <c r="J92" s="199">
        <v>6.845882712689412E-4</v>
      </c>
      <c r="K92" s="201"/>
    </row>
    <row r="93" spans="1:11" x14ac:dyDescent="0.25">
      <c r="A93" s="99" t="s">
        <v>283</v>
      </c>
      <c r="B93" s="205" t="s">
        <v>102</v>
      </c>
      <c r="C93" s="202">
        <v>318</v>
      </c>
      <c r="D93" s="202">
        <v>194</v>
      </c>
      <c r="E93" s="202">
        <v>16</v>
      </c>
      <c r="F93" s="202">
        <v>210</v>
      </c>
      <c r="G93" s="203">
        <v>803.30638668455947</v>
      </c>
      <c r="H93" s="203">
        <v>78.276864000000003</v>
      </c>
      <c r="I93" s="203">
        <v>881.58325068455952</v>
      </c>
      <c r="J93" s="199">
        <v>4.4295431894025624E-3</v>
      </c>
      <c r="K93" s="201"/>
    </row>
    <row r="94" spans="1:11" x14ac:dyDescent="0.25">
      <c r="A94" s="99" t="s">
        <v>282</v>
      </c>
      <c r="B94" s="205" t="s">
        <v>103</v>
      </c>
      <c r="C94" s="202">
        <v>73</v>
      </c>
      <c r="D94" s="202">
        <v>45</v>
      </c>
      <c r="E94" s="202">
        <v>9</v>
      </c>
      <c r="F94" s="202">
        <v>54</v>
      </c>
      <c r="G94" s="203">
        <v>171.63263067591407</v>
      </c>
      <c r="H94" s="203">
        <v>41.0625</v>
      </c>
      <c r="I94" s="203">
        <v>212.69513067591407</v>
      </c>
      <c r="J94" s="199">
        <v>1.0686934748056964E-3</v>
      </c>
      <c r="K94" s="201"/>
    </row>
    <row r="95" spans="1:11" x14ac:dyDescent="0.25">
      <c r="A95" s="99" t="s">
        <v>281</v>
      </c>
      <c r="B95" s="205" t="s">
        <v>104</v>
      </c>
      <c r="C95" s="202">
        <v>857</v>
      </c>
      <c r="D95" s="202">
        <v>606</v>
      </c>
      <c r="E95" s="202">
        <v>29</v>
      </c>
      <c r="F95" s="202">
        <v>635</v>
      </c>
      <c r="G95" s="203">
        <v>2127.0136412593474</v>
      </c>
      <c r="H95" s="203">
        <v>124.27079600000002</v>
      </c>
      <c r="I95" s="203">
        <v>2251.2844372593472</v>
      </c>
      <c r="J95" s="199">
        <v>1.1311650531843277E-2</v>
      </c>
      <c r="K95" s="201"/>
    </row>
    <row r="96" spans="1:11" x14ac:dyDescent="0.25">
      <c r="A96" s="99" t="s">
        <v>280</v>
      </c>
      <c r="B96" s="205" t="s">
        <v>105</v>
      </c>
      <c r="C96" s="202">
        <v>33</v>
      </c>
      <c r="D96" s="202">
        <v>32</v>
      </c>
      <c r="E96" s="202">
        <v>0</v>
      </c>
      <c r="F96" s="202">
        <v>32</v>
      </c>
      <c r="G96" s="203">
        <v>62.720595452443668</v>
      </c>
      <c r="H96" s="203">
        <v>0</v>
      </c>
      <c r="I96" s="203">
        <v>62.720595452443668</v>
      </c>
      <c r="J96" s="199">
        <v>3.1514163433335647E-4</v>
      </c>
      <c r="K96" s="201"/>
    </row>
    <row r="97" spans="1:11" x14ac:dyDescent="0.25">
      <c r="A97" s="99" t="s">
        <v>306</v>
      </c>
      <c r="B97" s="205" t="s">
        <v>529</v>
      </c>
      <c r="C97" s="202">
        <v>1062</v>
      </c>
      <c r="D97" s="202">
        <v>1006</v>
      </c>
      <c r="E97" s="202">
        <v>8</v>
      </c>
      <c r="F97" s="202">
        <v>1014</v>
      </c>
      <c r="G97" s="203">
        <v>2135.7360636231028</v>
      </c>
      <c r="H97" s="203">
        <v>16.385728</v>
      </c>
      <c r="I97" s="203">
        <v>2152.121791623103</v>
      </c>
      <c r="J97" s="199">
        <v>1.0813404652874857E-2</v>
      </c>
      <c r="K97" s="201"/>
    </row>
    <row r="98" spans="1:11" x14ac:dyDescent="0.25">
      <c r="A98" s="99" t="s">
        <v>279</v>
      </c>
      <c r="B98" s="205" t="s">
        <v>107</v>
      </c>
      <c r="C98" s="202">
        <v>24</v>
      </c>
      <c r="D98" s="202">
        <v>19</v>
      </c>
      <c r="E98" s="202">
        <v>1</v>
      </c>
      <c r="F98" s="202">
        <v>20</v>
      </c>
      <c r="G98" s="203">
        <v>60.421359654124608</v>
      </c>
      <c r="H98" s="203">
        <v>4.571428</v>
      </c>
      <c r="I98" s="203">
        <v>64.992787654124612</v>
      </c>
      <c r="J98" s="199">
        <v>3.2655833659505897E-4</v>
      </c>
      <c r="K98" s="201"/>
    </row>
    <row r="99" spans="1:11" x14ac:dyDescent="0.25">
      <c r="A99" s="99" t="s">
        <v>276</v>
      </c>
      <c r="B99" s="205" t="s">
        <v>108</v>
      </c>
      <c r="C99" s="202">
        <v>37</v>
      </c>
      <c r="D99" s="202">
        <v>25</v>
      </c>
      <c r="E99" s="202">
        <v>4</v>
      </c>
      <c r="F99" s="202">
        <v>29</v>
      </c>
      <c r="G99" s="203">
        <v>87.059327219905455</v>
      </c>
      <c r="H99" s="203">
        <v>13.058820000000001</v>
      </c>
      <c r="I99" s="203">
        <v>100.11814721990545</v>
      </c>
      <c r="J99" s="199">
        <v>5.0304682718185702E-4</v>
      </c>
      <c r="K99" s="201"/>
    </row>
    <row r="100" spans="1:11" x14ac:dyDescent="0.25">
      <c r="A100" s="99" t="s">
        <v>275</v>
      </c>
      <c r="B100" s="205" t="s">
        <v>109</v>
      </c>
      <c r="C100" s="202">
        <v>1569</v>
      </c>
      <c r="D100" s="202">
        <v>1217</v>
      </c>
      <c r="E100" s="202">
        <v>57</v>
      </c>
      <c r="F100" s="202">
        <v>1274</v>
      </c>
      <c r="G100" s="203">
        <v>4142.5104854762894</v>
      </c>
      <c r="H100" s="203">
        <v>230.6712639999997</v>
      </c>
      <c r="I100" s="203">
        <v>4373.181749476289</v>
      </c>
      <c r="J100" s="199">
        <v>2.1973191322963909E-2</v>
      </c>
      <c r="K100" s="201"/>
    </row>
    <row r="101" spans="1:11" x14ac:dyDescent="0.25">
      <c r="A101" s="99" t="s">
        <v>273</v>
      </c>
      <c r="B101" s="205" t="s">
        <v>110</v>
      </c>
      <c r="C101" s="202">
        <v>896</v>
      </c>
      <c r="D101" s="202">
        <v>662</v>
      </c>
      <c r="E101" s="202">
        <v>27</v>
      </c>
      <c r="F101" s="202">
        <v>689</v>
      </c>
      <c r="G101" s="203">
        <v>2308.5913059038362</v>
      </c>
      <c r="H101" s="203">
        <v>116.48000000000005</v>
      </c>
      <c r="I101" s="203">
        <v>2425.0713059038362</v>
      </c>
      <c r="J101" s="199">
        <v>1.2184848201846692E-2</v>
      </c>
      <c r="K101" s="201"/>
    </row>
    <row r="102" spans="1:11" x14ac:dyDescent="0.25">
      <c r="A102" s="99" t="s">
        <v>271</v>
      </c>
      <c r="B102" s="205" t="s">
        <v>111</v>
      </c>
      <c r="C102" s="202">
        <v>1304</v>
      </c>
      <c r="D102" s="202">
        <v>885</v>
      </c>
      <c r="E102" s="202">
        <v>31</v>
      </c>
      <c r="F102" s="202">
        <v>916</v>
      </c>
      <c r="G102" s="203">
        <v>3297.6373955953818</v>
      </c>
      <c r="H102" s="203">
        <v>141.16694000000001</v>
      </c>
      <c r="I102" s="203">
        <v>3438.8043355953819</v>
      </c>
      <c r="J102" s="199">
        <v>1.7278382175020281E-2</v>
      </c>
      <c r="K102" s="201"/>
    </row>
    <row r="103" spans="1:11" x14ac:dyDescent="0.25">
      <c r="A103" s="99" t="s">
        <v>270</v>
      </c>
      <c r="B103" s="205" t="s">
        <v>112</v>
      </c>
      <c r="C103" s="202">
        <v>788</v>
      </c>
      <c r="D103" s="202">
        <v>559</v>
      </c>
      <c r="E103" s="202">
        <v>18</v>
      </c>
      <c r="F103" s="202">
        <v>577</v>
      </c>
      <c r="G103" s="203">
        <v>2133.9724783947827</v>
      </c>
      <c r="H103" s="203">
        <v>79.976091999999994</v>
      </c>
      <c r="I103" s="203">
        <v>2213.9485703947826</v>
      </c>
      <c r="J103" s="199">
        <v>1.1124055276758799E-2</v>
      </c>
      <c r="K103" s="201"/>
    </row>
    <row r="104" spans="1:11" x14ac:dyDescent="0.25">
      <c r="A104" s="99" t="s">
        <v>269</v>
      </c>
      <c r="B104" s="205" t="s">
        <v>113</v>
      </c>
      <c r="C104" s="202">
        <v>2526</v>
      </c>
      <c r="D104" s="202">
        <v>1862</v>
      </c>
      <c r="E104" s="202">
        <v>86</v>
      </c>
      <c r="F104" s="202">
        <v>1948</v>
      </c>
      <c r="G104" s="203">
        <v>6527.1657459075313</v>
      </c>
      <c r="H104" s="203">
        <v>352.26156000000037</v>
      </c>
      <c r="I104" s="203">
        <v>6879.4273059075313</v>
      </c>
      <c r="J104" s="199">
        <v>3.4565902138238569E-2</v>
      </c>
      <c r="K104" s="201"/>
    </row>
    <row r="105" spans="1:11" x14ac:dyDescent="0.25">
      <c r="A105" s="99" t="s">
        <v>268</v>
      </c>
      <c r="B105" s="205" t="s">
        <v>114</v>
      </c>
      <c r="C105" s="202">
        <v>1933</v>
      </c>
      <c r="D105" s="202">
        <v>1410</v>
      </c>
      <c r="E105" s="202">
        <v>97</v>
      </c>
      <c r="F105" s="202">
        <v>1507</v>
      </c>
      <c r="G105" s="203">
        <v>5059.9821095263087</v>
      </c>
      <c r="H105" s="203">
        <v>421.99270799999977</v>
      </c>
      <c r="I105" s="203">
        <v>5481.9748175263085</v>
      </c>
      <c r="J105" s="199">
        <v>2.7544357493854681E-2</v>
      </c>
      <c r="K105" s="201"/>
    </row>
    <row r="106" spans="1:11" x14ac:dyDescent="0.25">
      <c r="A106" s="99" t="s">
        <v>267</v>
      </c>
      <c r="B106" s="205" t="s">
        <v>115</v>
      </c>
      <c r="C106" s="202">
        <v>622</v>
      </c>
      <c r="D106" s="202">
        <v>528</v>
      </c>
      <c r="E106" s="202">
        <v>15</v>
      </c>
      <c r="F106" s="202">
        <v>543</v>
      </c>
      <c r="G106" s="203">
        <v>1700.5308663021149</v>
      </c>
      <c r="H106" s="203">
        <v>55.288844000000019</v>
      </c>
      <c r="I106" s="203">
        <v>1755.8197103021148</v>
      </c>
      <c r="J106" s="199">
        <v>8.8221721925277174E-3</v>
      </c>
      <c r="K106" s="201"/>
    </row>
    <row r="107" spans="1:11" x14ac:dyDescent="0.25">
      <c r="A107" s="99" t="s">
        <v>264</v>
      </c>
      <c r="B107" s="205" t="s">
        <v>116</v>
      </c>
      <c r="C107" s="202">
        <v>9</v>
      </c>
      <c r="D107" s="202">
        <v>7</v>
      </c>
      <c r="E107" s="202">
        <v>1</v>
      </c>
      <c r="F107" s="202">
        <v>8</v>
      </c>
      <c r="G107" s="203">
        <v>27.440260510444109</v>
      </c>
      <c r="H107" s="203">
        <v>4</v>
      </c>
      <c r="I107" s="203">
        <v>31.440260510444109</v>
      </c>
      <c r="J107" s="199">
        <v>1.5797259272897756E-4</v>
      </c>
      <c r="K107" s="201"/>
    </row>
    <row r="108" spans="1:11" x14ac:dyDescent="0.25">
      <c r="A108" s="99" t="s">
        <v>263</v>
      </c>
      <c r="B108" s="205" t="s">
        <v>148</v>
      </c>
      <c r="C108" s="202">
        <v>10</v>
      </c>
      <c r="D108" s="202">
        <v>9</v>
      </c>
      <c r="E108" s="202">
        <v>0</v>
      </c>
      <c r="F108" s="202">
        <v>9</v>
      </c>
      <c r="G108" s="203">
        <v>17.640167470999785</v>
      </c>
      <c r="H108" s="203">
        <v>0</v>
      </c>
      <c r="I108" s="203">
        <v>17.640167470999785</v>
      </c>
      <c r="J108" s="199">
        <v>8.8633584656256531E-5</v>
      </c>
      <c r="K108" s="201"/>
    </row>
    <row r="109" spans="1:11" x14ac:dyDescent="0.25">
      <c r="A109" s="99" t="s">
        <v>262</v>
      </c>
      <c r="B109" s="205" t="s">
        <v>117</v>
      </c>
      <c r="C109" s="202">
        <v>38</v>
      </c>
      <c r="D109" s="202">
        <v>18</v>
      </c>
      <c r="E109" s="202">
        <v>6</v>
      </c>
      <c r="F109" s="202">
        <v>24</v>
      </c>
      <c r="G109" s="203">
        <v>77.460283171791843</v>
      </c>
      <c r="H109" s="203">
        <v>30.399984</v>
      </c>
      <c r="I109" s="203">
        <v>107.86026717179185</v>
      </c>
      <c r="J109" s="199">
        <v>5.4194735606303342E-4</v>
      </c>
      <c r="K109" s="201"/>
    </row>
    <row r="110" spans="1:11" x14ac:dyDescent="0.25">
      <c r="A110" s="99" t="s">
        <v>261</v>
      </c>
      <c r="B110" s="205" t="s">
        <v>118</v>
      </c>
      <c r="C110" s="202">
        <v>137</v>
      </c>
      <c r="D110" s="202">
        <v>123</v>
      </c>
      <c r="E110" s="202">
        <v>5</v>
      </c>
      <c r="F110" s="202">
        <v>128</v>
      </c>
      <c r="G110" s="203">
        <v>314.95872213329488</v>
      </c>
      <c r="H110" s="203">
        <v>18.541350000000001</v>
      </c>
      <c r="I110" s="203">
        <v>333.50007213329491</v>
      </c>
      <c r="J110" s="199">
        <v>1.6756817601017214E-3</v>
      </c>
      <c r="K110" s="201"/>
    </row>
    <row r="111" spans="1:11" x14ac:dyDescent="0.25">
      <c r="A111" s="99" t="s">
        <v>260</v>
      </c>
      <c r="B111" s="205" t="s">
        <v>119</v>
      </c>
      <c r="C111" s="202">
        <v>98</v>
      </c>
      <c r="D111" s="202">
        <v>89</v>
      </c>
      <c r="E111" s="202">
        <v>0</v>
      </c>
      <c r="F111" s="202">
        <v>89</v>
      </c>
      <c r="G111" s="203">
        <v>200.08516755470123</v>
      </c>
      <c r="H111" s="203">
        <v>0</v>
      </c>
      <c r="I111" s="203">
        <v>200.08516755470123</v>
      </c>
      <c r="J111" s="199">
        <v>1.0053343125044473E-3</v>
      </c>
      <c r="K111" s="201"/>
    </row>
    <row r="112" spans="1:11" x14ac:dyDescent="0.25">
      <c r="A112" s="99" t="s">
        <v>259</v>
      </c>
      <c r="B112" s="205" t="s">
        <v>524</v>
      </c>
      <c r="C112" s="202">
        <v>499</v>
      </c>
      <c r="D112" s="202">
        <v>415</v>
      </c>
      <c r="E112" s="202">
        <v>9</v>
      </c>
      <c r="F112" s="202">
        <v>424</v>
      </c>
      <c r="G112" s="203">
        <v>1055.0288712517165</v>
      </c>
      <c r="H112" s="203">
        <v>28.577067999999997</v>
      </c>
      <c r="I112" s="203">
        <v>1083.6059392517166</v>
      </c>
      <c r="J112" s="199">
        <v>5.4446126380933929E-3</v>
      </c>
      <c r="K112" s="201"/>
    </row>
    <row r="113" spans="1:11" x14ac:dyDescent="0.25">
      <c r="A113" s="99" t="s">
        <v>258</v>
      </c>
      <c r="B113" s="205" t="s">
        <v>121</v>
      </c>
      <c r="C113" s="202">
        <v>247</v>
      </c>
      <c r="D113" s="202">
        <v>159</v>
      </c>
      <c r="E113" s="202">
        <v>15</v>
      </c>
      <c r="F113" s="202">
        <v>174</v>
      </c>
      <c r="G113" s="203">
        <v>570.42339181216528</v>
      </c>
      <c r="H113" s="203">
        <v>67.981620000000007</v>
      </c>
      <c r="I113" s="203">
        <v>638.4050118121653</v>
      </c>
      <c r="J113" s="199">
        <v>3.2076863642284347E-3</v>
      </c>
      <c r="K113" s="201"/>
    </row>
    <row r="114" spans="1:11" x14ac:dyDescent="0.25">
      <c r="A114" s="99" t="s">
        <v>257</v>
      </c>
      <c r="B114" s="205" t="s">
        <v>122</v>
      </c>
      <c r="C114" s="202">
        <v>356</v>
      </c>
      <c r="D114" s="202">
        <v>259</v>
      </c>
      <c r="E114" s="202">
        <v>24</v>
      </c>
      <c r="F114" s="202">
        <v>283</v>
      </c>
      <c r="G114" s="203">
        <v>1017.0056508577926</v>
      </c>
      <c r="H114" s="203">
        <v>107.03261600000003</v>
      </c>
      <c r="I114" s="203">
        <v>1124.0382668577927</v>
      </c>
      <c r="J114" s="199">
        <v>5.6477661590344005E-3</v>
      </c>
      <c r="K114" s="201"/>
    </row>
    <row r="115" spans="1:11" x14ac:dyDescent="0.25">
      <c r="A115" s="99" t="s">
        <v>256</v>
      </c>
      <c r="B115" s="205" t="s">
        <v>123</v>
      </c>
      <c r="C115" s="202">
        <v>655</v>
      </c>
      <c r="D115" s="202">
        <v>516</v>
      </c>
      <c r="E115" s="202">
        <v>53</v>
      </c>
      <c r="F115" s="202">
        <v>569</v>
      </c>
      <c r="G115" s="203">
        <v>1673.4476593922986</v>
      </c>
      <c r="H115" s="203">
        <v>231.81966799999984</v>
      </c>
      <c r="I115" s="203">
        <v>1905.2673273922985</v>
      </c>
      <c r="J115" s="199">
        <v>9.5730765160164256E-3</v>
      </c>
      <c r="K115" s="201"/>
    </row>
    <row r="116" spans="1:11" x14ac:dyDescent="0.25">
      <c r="A116" s="99" t="s">
        <v>255</v>
      </c>
      <c r="B116" s="205" t="s">
        <v>124</v>
      </c>
      <c r="C116" s="202">
        <v>845</v>
      </c>
      <c r="D116" s="202">
        <v>670</v>
      </c>
      <c r="E116" s="202">
        <v>9</v>
      </c>
      <c r="F116" s="202">
        <v>679</v>
      </c>
      <c r="G116" s="203">
        <v>2276.0234769585472</v>
      </c>
      <c r="H116" s="203">
        <v>23.651386000000002</v>
      </c>
      <c r="I116" s="203">
        <v>2299.6748629585472</v>
      </c>
      <c r="J116" s="199">
        <v>1.155478977073165E-2</v>
      </c>
      <c r="K116" s="201"/>
    </row>
    <row r="117" spans="1:11" x14ac:dyDescent="0.25">
      <c r="A117" s="99" t="s">
        <v>254</v>
      </c>
      <c r="B117" s="205" t="s">
        <v>125</v>
      </c>
      <c r="C117" s="202">
        <v>3737</v>
      </c>
      <c r="D117" s="202">
        <v>2857</v>
      </c>
      <c r="E117" s="202">
        <v>139</v>
      </c>
      <c r="F117" s="202">
        <v>2996</v>
      </c>
      <c r="G117" s="203">
        <v>9720.6492644754326</v>
      </c>
      <c r="H117" s="203">
        <v>559.89125999999919</v>
      </c>
      <c r="I117" s="203">
        <v>10280.540524475431</v>
      </c>
      <c r="J117" s="199">
        <v>5.1654904092388709E-2</v>
      </c>
      <c r="K117" s="201"/>
    </row>
    <row r="118" spans="1:11" x14ac:dyDescent="0.25">
      <c r="A118" s="99" t="s">
        <v>253</v>
      </c>
      <c r="B118" s="205" t="s">
        <v>126</v>
      </c>
      <c r="C118" s="202">
        <v>29</v>
      </c>
      <c r="D118" s="202">
        <v>19</v>
      </c>
      <c r="E118" s="202">
        <v>9</v>
      </c>
      <c r="F118" s="202">
        <v>28</v>
      </c>
      <c r="G118" s="203">
        <v>60.388229340999729</v>
      </c>
      <c r="H118" s="203">
        <v>35.214276000000005</v>
      </c>
      <c r="I118" s="203">
        <v>95.602505340999727</v>
      </c>
      <c r="J118" s="199">
        <v>4.8035784039024556E-4</v>
      </c>
      <c r="K118" s="201"/>
    </row>
    <row r="119" spans="1:11" x14ac:dyDescent="0.25">
      <c r="A119" s="99" t="s">
        <v>251</v>
      </c>
      <c r="B119" s="205" t="s">
        <v>127</v>
      </c>
      <c r="C119" s="202">
        <v>26</v>
      </c>
      <c r="D119" s="202">
        <v>21</v>
      </c>
      <c r="E119" s="202">
        <v>2</v>
      </c>
      <c r="F119" s="202">
        <v>23</v>
      </c>
      <c r="G119" s="203">
        <v>81.53718309514035</v>
      </c>
      <c r="H119" s="203">
        <v>8</v>
      </c>
      <c r="I119" s="203">
        <v>89.53718309514035</v>
      </c>
      <c r="J119" s="199">
        <v>4.4988243511817844E-4</v>
      </c>
      <c r="K119" s="201"/>
    </row>
    <row r="120" spans="1:11" x14ac:dyDescent="0.25">
      <c r="A120" s="99" t="s">
        <v>246</v>
      </c>
      <c r="B120" s="205" t="s">
        <v>128</v>
      </c>
      <c r="C120" s="202">
        <v>71</v>
      </c>
      <c r="D120" s="202">
        <v>23</v>
      </c>
      <c r="E120" s="202">
        <v>8</v>
      </c>
      <c r="F120" s="202">
        <v>31</v>
      </c>
      <c r="G120" s="203">
        <v>116.4767639013875</v>
      </c>
      <c r="H120" s="203">
        <v>47.333311999999992</v>
      </c>
      <c r="I120" s="203">
        <v>163.81007590138751</v>
      </c>
      <c r="J120" s="199">
        <v>8.2306895633630544E-4</v>
      </c>
      <c r="K120" s="201"/>
    </row>
    <row r="121" spans="1:11" x14ac:dyDescent="0.25">
      <c r="A121" s="99" t="s">
        <v>248</v>
      </c>
      <c r="B121" s="205" t="s">
        <v>169</v>
      </c>
      <c r="C121" s="202">
        <v>31</v>
      </c>
      <c r="D121" s="202">
        <v>31</v>
      </c>
      <c r="E121" s="202">
        <v>0</v>
      </c>
      <c r="F121" s="202">
        <v>31</v>
      </c>
      <c r="G121" s="203">
        <v>64.680614060332516</v>
      </c>
      <c r="H121" s="203">
        <v>0</v>
      </c>
      <c r="I121" s="203">
        <v>64.680614060332516</v>
      </c>
      <c r="J121" s="199">
        <v>3.249898104062738E-4</v>
      </c>
      <c r="K121" s="201"/>
    </row>
    <row r="122" spans="1:11" x14ac:dyDescent="0.25">
      <c r="A122" s="99" t="s">
        <v>245</v>
      </c>
      <c r="B122" s="205" t="s">
        <v>170</v>
      </c>
      <c r="C122" s="202">
        <v>7</v>
      </c>
      <c r="D122" s="202">
        <v>7</v>
      </c>
      <c r="E122" s="202">
        <v>0</v>
      </c>
      <c r="F122" s="202">
        <v>7</v>
      </c>
      <c r="G122" s="203">
        <v>19.600186078888651</v>
      </c>
      <c r="H122" s="203">
        <v>0</v>
      </c>
      <c r="I122" s="203">
        <v>19.600186078888651</v>
      </c>
      <c r="J122" s="199">
        <v>9.848176072917393E-5</v>
      </c>
      <c r="K122" s="201"/>
    </row>
    <row r="123" spans="1:11" x14ac:dyDescent="0.25">
      <c r="A123" s="99" t="s">
        <v>244</v>
      </c>
      <c r="B123" s="205" t="s">
        <v>130</v>
      </c>
      <c r="C123" s="202">
        <v>585</v>
      </c>
      <c r="D123" s="202">
        <v>475</v>
      </c>
      <c r="E123" s="202">
        <v>15</v>
      </c>
      <c r="F123" s="202">
        <v>490</v>
      </c>
      <c r="G123" s="203">
        <v>1433.746093807111</v>
      </c>
      <c r="H123" s="203">
        <v>50.594592000000013</v>
      </c>
      <c r="I123" s="203">
        <v>1484.340685807111</v>
      </c>
      <c r="J123" s="199">
        <v>7.4581171664326569E-3</v>
      </c>
      <c r="K123" s="201"/>
    </row>
    <row r="124" spans="1:11" x14ac:dyDescent="0.25">
      <c r="A124" s="99" t="s">
        <v>243</v>
      </c>
      <c r="B124" s="205" t="s">
        <v>131</v>
      </c>
      <c r="C124" s="202">
        <v>118</v>
      </c>
      <c r="D124" s="202">
        <v>84</v>
      </c>
      <c r="E124" s="202">
        <v>2</v>
      </c>
      <c r="F124" s="202">
        <v>86</v>
      </c>
      <c r="G124" s="203">
        <v>303.72824383744302</v>
      </c>
      <c r="H124" s="203">
        <v>6.6792420000000003</v>
      </c>
      <c r="I124" s="203">
        <v>310.40748583744301</v>
      </c>
      <c r="J124" s="199">
        <v>1.559652322980437E-3</v>
      </c>
      <c r="K124" s="201"/>
    </row>
    <row r="125" spans="1:11" x14ac:dyDescent="0.25">
      <c r="A125" s="99" t="s">
        <v>242</v>
      </c>
      <c r="B125" s="205" t="s">
        <v>132</v>
      </c>
      <c r="C125" s="202">
        <v>2049</v>
      </c>
      <c r="D125" s="202">
        <v>1547</v>
      </c>
      <c r="E125" s="202">
        <v>59</v>
      </c>
      <c r="F125" s="202">
        <v>1606</v>
      </c>
      <c r="G125" s="203">
        <v>5332.4244274523917</v>
      </c>
      <c r="H125" s="203">
        <v>256.40852600000022</v>
      </c>
      <c r="I125" s="203">
        <v>5588.8329534523918</v>
      </c>
      <c r="J125" s="199">
        <v>2.8081269609478574E-2</v>
      </c>
      <c r="K125" s="201"/>
    </row>
    <row r="126" spans="1:11" x14ac:dyDescent="0.25">
      <c r="A126" s="99" t="s">
        <v>241</v>
      </c>
      <c r="B126" s="205" t="s">
        <v>134</v>
      </c>
      <c r="C126" s="202">
        <v>98</v>
      </c>
      <c r="D126" s="202">
        <v>85</v>
      </c>
      <c r="E126" s="202">
        <v>1</v>
      </c>
      <c r="F126" s="202">
        <v>86</v>
      </c>
      <c r="G126" s="203">
        <v>268.62201245362274</v>
      </c>
      <c r="H126" s="203">
        <v>4.215052</v>
      </c>
      <c r="I126" s="203">
        <v>272.83706445362276</v>
      </c>
      <c r="J126" s="199">
        <v>1.3708785412253294E-3</v>
      </c>
      <c r="K126" s="201"/>
    </row>
    <row r="127" spans="1:11" x14ac:dyDescent="0.25">
      <c r="A127" s="99" t="s">
        <v>446</v>
      </c>
      <c r="B127" s="205" t="s">
        <v>447</v>
      </c>
      <c r="C127" s="202">
        <v>54</v>
      </c>
      <c r="D127" s="202">
        <v>37</v>
      </c>
      <c r="E127" s="202">
        <v>7</v>
      </c>
      <c r="F127" s="202">
        <v>44</v>
      </c>
      <c r="G127" s="203">
        <v>127.29578833676491</v>
      </c>
      <c r="H127" s="203">
        <v>28.653039999999997</v>
      </c>
      <c r="I127" s="203">
        <v>155.9488283367649</v>
      </c>
      <c r="J127" s="199">
        <v>7.8356986696154467E-4</v>
      </c>
      <c r="K127" s="201"/>
    </row>
    <row r="128" spans="1:11" x14ac:dyDescent="0.25">
      <c r="A128" s="99" t="s">
        <v>308</v>
      </c>
      <c r="B128" s="205" t="s">
        <v>149</v>
      </c>
      <c r="C128" s="202">
        <v>28</v>
      </c>
      <c r="D128" s="202">
        <v>21</v>
      </c>
      <c r="E128" s="202">
        <v>3</v>
      </c>
      <c r="F128" s="202">
        <v>24</v>
      </c>
      <c r="G128" s="203">
        <v>51.632475028048937</v>
      </c>
      <c r="H128" s="203">
        <v>12.444444000000001</v>
      </c>
      <c r="I128" s="203">
        <v>64.076919028048934</v>
      </c>
      <c r="J128" s="199">
        <v>3.219565254423734E-4</v>
      </c>
      <c r="K128" s="201"/>
    </row>
    <row r="129" spans="1:11" x14ac:dyDescent="0.25">
      <c r="A129" s="99" t="s">
        <v>240</v>
      </c>
      <c r="B129" s="205" t="s">
        <v>135</v>
      </c>
      <c r="C129" s="202">
        <v>535</v>
      </c>
      <c r="D129" s="202">
        <v>459</v>
      </c>
      <c r="E129" s="202">
        <v>5</v>
      </c>
      <c r="F129" s="202">
        <v>464</v>
      </c>
      <c r="G129" s="203">
        <v>1250.1068300976247</v>
      </c>
      <c r="H129" s="203">
        <v>14.686265999999998</v>
      </c>
      <c r="I129" s="203">
        <v>1264.7930960976246</v>
      </c>
      <c r="J129" s="199">
        <v>6.3549932924340871E-3</v>
      </c>
      <c r="K129" s="201"/>
    </row>
    <row r="130" spans="1:11" x14ac:dyDescent="0.25">
      <c r="A130" s="99" t="s">
        <v>237</v>
      </c>
      <c r="B130" s="205" t="s">
        <v>136</v>
      </c>
      <c r="C130" s="202">
        <v>1097</v>
      </c>
      <c r="D130" s="202">
        <v>828</v>
      </c>
      <c r="E130" s="202">
        <v>39</v>
      </c>
      <c r="F130" s="202">
        <v>867</v>
      </c>
      <c r="G130" s="203">
        <v>2744.4343162435434</v>
      </c>
      <c r="H130" s="203">
        <v>160.96675199999993</v>
      </c>
      <c r="I130" s="203">
        <v>2905.4010682435432</v>
      </c>
      <c r="J130" s="199">
        <v>1.4598280428226971E-2</v>
      </c>
      <c r="K130" s="201"/>
    </row>
    <row r="131" spans="1:11" x14ac:dyDescent="0.25">
      <c r="A131" s="99" t="s">
        <v>236</v>
      </c>
      <c r="B131" s="205" t="s">
        <v>137</v>
      </c>
      <c r="C131" s="202">
        <v>328</v>
      </c>
      <c r="D131" s="202">
        <v>231</v>
      </c>
      <c r="E131" s="202">
        <v>8</v>
      </c>
      <c r="F131" s="202">
        <v>239</v>
      </c>
      <c r="G131" s="203">
        <v>934.8129650952676</v>
      </c>
      <c r="H131" s="203">
        <v>34.526309999999995</v>
      </c>
      <c r="I131" s="203">
        <v>969.33927509526757</v>
      </c>
      <c r="J131" s="199">
        <v>4.8704761358436977E-3</v>
      </c>
      <c r="K131" s="201"/>
    </row>
    <row r="132" spans="1:11" x14ac:dyDescent="0.25">
      <c r="A132" s="99" t="s">
        <v>235</v>
      </c>
      <c r="B132" s="205" t="s">
        <v>138</v>
      </c>
      <c r="C132" s="202">
        <v>20</v>
      </c>
      <c r="D132" s="202">
        <v>15</v>
      </c>
      <c r="E132" s="202">
        <v>1</v>
      </c>
      <c r="F132" s="202">
        <v>16</v>
      </c>
      <c r="G132" s="203">
        <v>56.618157553230745</v>
      </c>
      <c r="H132" s="203">
        <v>2.3529399999999998</v>
      </c>
      <c r="I132" s="203">
        <v>58.971097553230742</v>
      </c>
      <c r="J132" s="199">
        <v>2.9630216242841601E-4</v>
      </c>
      <c r="K132" s="201"/>
    </row>
    <row r="133" spans="1:11" x14ac:dyDescent="0.25">
      <c r="A133" s="99" t="s">
        <v>231</v>
      </c>
      <c r="B133" s="205" t="s">
        <v>139</v>
      </c>
      <c r="C133" s="202">
        <v>70</v>
      </c>
      <c r="D133" s="202">
        <v>57</v>
      </c>
      <c r="E133" s="202">
        <v>5</v>
      </c>
      <c r="F133" s="202">
        <v>62</v>
      </c>
      <c r="G133" s="203">
        <v>183.63865337592455</v>
      </c>
      <c r="H133" s="203">
        <v>15.076922</v>
      </c>
      <c r="I133" s="203">
        <v>198.71557537592454</v>
      </c>
      <c r="J133" s="199">
        <v>9.9845275287516839E-4</v>
      </c>
      <c r="K133" s="201"/>
    </row>
    <row r="134" spans="1:11" x14ac:dyDescent="0.25">
      <c r="A134" s="99" t="s">
        <v>229</v>
      </c>
      <c r="B134" s="205" t="s">
        <v>140</v>
      </c>
      <c r="C134" s="202">
        <v>1163</v>
      </c>
      <c r="D134" s="202">
        <v>917</v>
      </c>
      <c r="E134" s="202">
        <v>19</v>
      </c>
      <c r="F134" s="202">
        <v>936</v>
      </c>
      <c r="G134" s="203">
        <v>3094.2343495476848</v>
      </c>
      <c r="H134" s="203">
        <v>71.707072000000011</v>
      </c>
      <c r="I134" s="203">
        <v>3165.941421547685</v>
      </c>
      <c r="J134" s="199">
        <v>1.5907373751684224E-2</v>
      </c>
      <c r="K134" s="201"/>
    </row>
    <row r="135" spans="1:11" x14ac:dyDescent="0.25">
      <c r="A135" s="99" t="s">
        <v>228</v>
      </c>
      <c r="B135" s="205" t="s">
        <v>141</v>
      </c>
      <c r="C135" s="202">
        <v>47</v>
      </c>
      <c r="D135" s="202">
        <v>42</v>
      </c>
      <c r="E135" s="202">
        <v>2</v>
      </c>
      <c r="F135" s="202">
        <v>44</v>
      </c>
      <c r="G135" s="203">
        <v>140.69362294965489</v>
      </c>
      <c r="H135" s="203">
        <v>8.3555519999999994</v>
      </c>
      <c r="I135" s="203">
        <v>149.04917494965488</v>
      </c>
      <c r="J135" s="199">
        <v>7.4890233823254534E-4</v>
      </c>
      <c r="K135" s="201"/>
    </row>
    <row r="136" spans="1:11" x14ac:dyDescent="0.25">
      <c r="A136" s="99" t="s">
        <v>221</v>
      </c>
      <c r="B136" s="205" t="s">
        <v>142</v>
      </c>
      <c r="C136" s="202">
        <v>759</v>
      </c>
      <c r="D136" s="202">
        <v>545</v>
      </c>
      <c r="E136" s="202">
        <v>29</v>
      </c>
      <c r="F136" s="202">
        <v>574</v>
      </c>
      <c r="G136" s="203">
        <v>1819.5572535968013</v>
      </c>
      <c r="H136" s="203">
        <v>123.14158999999992</v>
      </c>
      <c r="I136" s="203">
        <v>1942.6988435968012</v>
      </c>
      <c r="J136" s="199">
        <v>9.7611523642632224E-3</v>
      </c>
      <c r="K136" s="201"/>
    </row>
    <row r="137" spans="1:11" x14ac:dyDescent="0.25">
      <c r="A137" s="99" t="s">
        <v>219</v>
      </c>
      <c r="B137" s="205" t="s">
        <v>143</v>
      </c>
      <c r="C137" s="202">
        <v>693</v>
      </c>
      <c r="D137" s="202">
        <v>485</v>
      </c>
      <c r="E137" s="202">
        <v>18</v>
      </c>
      <c r="F137" s="202">
        <v>503</v>
      </c>
      <c r="G137" s="203">
        <v>1767.8337893399828</v>
      </c>
      <c r="H137" s="203">
        <v>71.25368600000003</v>
      </c>
      <c r="I137" s="203">
        <v>1839.0874753399828</v>
      </c>
      <c r="J137" s="199">
        <v>9.2405537364532112E-3</v>
      </c>
      <c r="K137" s="201"/>
    </row>
    <row r="138" spans="1:11" x14ac:dyDescent="0.25">
      <c r="A138" s="206" t="s">
        <v>16</v>
      </c>
      <c r="B138" s="206"/>
      <c r="C138" s="207">
        <v>74709</v>
      </c>
      <c r="D138" s="207">
        <v>55908</v>
      </c>
      <c r="E138" s="207">
        <v>2396</v>
      </c>
      <c r="F138" s="207">
        <v>58304</v>
      </c>
      <c r="G138" s="208">
        <v>189160.58802763533</v>
      </c>
      <c r="H138" s="208">
        <v>9862.925907999992</v>
      </c>
      <c r="I138" s="208">
        <v>199023.51393563533</v>
      </c>
      <c r="J138" s="200">
        <v>1</v>
      </c>
    </row>
    <row r="140" spans="1:11" x14ac:dyDescent="0.25">
      <c r="A140" t="s">
        <v>515</v>
      </c>
    </row>
    <row r="141" spans="1:11" x14ac:dyDescent="0.25">
      <c r="A141" s="177" t="s">
        <v>518</v>
      </c>
    </row>
    <row r="152" spans="10:10" x14ac:dyDescent="0.25">
      <c r="J152" s="8"/>
    </row>
  </sheetData>
  <hyperlinks>
    <hyperlink ref="A141" r:id="rId1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7">
    <tabColor theme="9" tint="0.59999389629810485"/>
  </sheetPr>
  <dimension ref="A1:K143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12" customWidth="1"/>
    <col min="2" max="2" width="38" customWidth="1"/>
    <col min="3" max="11" width="17.42578125" customWidth="1"/>
  </cols>
  <sheetData>
    <row r="1" spans="1:11" ht="19.5" x14ac:dyDescent="0.3">
      <c r="A1" s="136" t="s">
        <v>630</v>
      </c>
      <c r="B1" s="4"/>
    </row>
    <row r="2" spans="1:11" x14ac:dyDescent="0.25">
      <c r="A2" s="12" t="s">
        <v>628</v>
      </c>
      <c r="B2" s="1"/>
      <c r="C2" s="177"/>
      <c r="D2" s="2"/>
      <c r="E2" s="2"/>
      <c r="F2" s="2"/>
      <c r="G2" s="2"/>
      <c r="H2" s="2"/>
      <c r="I2" s="2"/>
      <c r="J2" s="2"/>
    </row>
    <row r="3" spans="1:11" x14ac:dyDescent="0.25">
      <c r="A3" s="178"/>
      <c r="B3" s="121"/>
      <c r="C3" s="180" t="s">
        <v>12</v>
      </c>
      <c r="D3" s="180"/>
      <c r="E3" s="180"/>
      <c r="F3" s="180"/>
      <c r="G3" s="180"/>
      <c r="H3" s="180"/>
      <c r="I3" s="180"/>
      <c r="J3" s="180"/>
      <c r="K3" s="180"/>
    </row>
    <row r="4" spans="1:11" ht="15" customHeight="1" x14ac:dyDescent="0.25">
      <c r="A4" s="179"/>
      <c r="B4" s="122"/>
      <c r="C4" s="319" t="s">
        <v>17</v>
      </c>
      <c r="D4" s="319"/>
      <c r="E4" s="319"/>
      <c r="F4" s="319"/>
      <c r="G4" s="319"/>
      <c r="H4" s="319"/>
      <c r="I4" s="319"/>
      <c r="J4" s="319"/>
      <c r="K4" s="319"/>
    </row>
    <row r="5" spans="1:11" ht="24" x14ac:dyDescent="0.25">
      <c r="A5" s="140" t="s">
        <v>12</v>
      </c>
      <c r="B5" s="123"/>
      <c r="C5" s="140" t="s">
        <v>485</v>
      </c>
      <c r="D5" s="140" t="s">
        <v>486</v>
      </c>
      <c r="E5" s="140" t="s">
        <v>487</v>
      </c>
      <c r="F5" s="140" t="s">
        <v>488</v>
      </c>
      <c r="G5" s="140" t="s">
        <v>489</v>
      </c>
      <c r="H5" s="140" t="s">
        <v>490</v>
      </c>
      <c r="I5" s="140" t="s">
        <v>491</v>
      </c>
      <c r="J5" s="140" t="s">
        <v>492</v>
      </c>
      <c r="K5" s="140" t="s">
        <v>493</v>
      </c>
    </row>
    <row r="6" spans="1:11" ht="14.45" customHeight="1" x14ac:dyDescent="0.25">
      <c r="A6" s="205" t="s">
        <v>340</v>
      </c>
      <c r="B6" s="119" t="s">
        <v>56</v>
      </c>
      <c r="C6" s="202">
        <v>32</v>
      </c>
      <c r="D6" s="202">
        <v>28</v>
      </c>
      <c r="E6" s="210">
        <v>0.875</v>
      </c>
      <c r="F6" s="211"/>
      <c r="G6" s="212">
        <v>4.5267857142857144</v>
      </c>
      <c r="H6" s="212">
        <v>0.91573371664251568</v>
      </c>
      <c r="I6" s="202">
        <v>507</v>
      </c>
      <c r="J6" s="202">
        <v>579.42857142857144</v>
      </c>
      <c r="K6" s="204">
        <v>3.5201060114719977E-4</v>
      </c>
    </row>
    <row r="7" spans="1:11" ht="14.45" customHeight="1" x14ac:dyDescent="0.25">
      <c r="A7" s="205" t="s">
        <v>264</v>
      </c>
      <c r="B7" s="119" t="s">
        <v>116</v>
      </c>
      <c r="C7" s="202">
        <v>20</v>
      </c>
      <c r="D7" s="202">
        <v>15</v>
      </c>
      <c r="E7" s="210">
        <v>0.75</v>
      </c>
      <c r="F7" s="211"/>
      <c r="G7" s="212">
        <v>4.4833333333333334</v>
      </c>
      <c r="H7" s="212">
        <v>0.80605348595625059</v>
      </c>
      <c r="I7" s="202">
        <v>269</v>
      </c>
      <c r="J7" s="202">
        <v>358.66666666666663</v>
      </c>
      <c r="K7" s="204">
        <v>2.1789479354377946E-4</v>
      </c>
    </row>
    <row r="8" spans="1:11" ht="14.45" customHeight="1" x14ac:dyDescent="0.25">
      <c r="A8" s="205" t="s">
        <v>229</v>
      </c>
      <c r="B8" s="119" t="s">
        <v>140</v>
      </c>
      <c r="C8" s="202">
        <v>2094</v>
      </c>
      <c r="D8" s="202">
        <v>1307</v>
      </c>
      <c r="E8" s="210">
        <v>0.6241642788920726</v>
      </c>
      <c r="F8" s="211"/>
      <c r="G8" s="212">
        <v>3.9967532467532467</v>
      </c>
      <c r="H8" s="212">
        <v>1.1327934202674816</v>
      </c>
      <c r="I8" s="202">
        <v>20895.025974025975</v>
      </c>
      <c r="J8" s="202">
        <v>33082.59940486202</v>
      </c>
      <c r="K8" s="204">
        <v>2.0098121284053822E-2</v>
      </c>
    </row>
    <row r="9" spans="1:11" ht="14.45" customHeight="1" x14ac:dyDescent="0.25">
      <c r="A9" s="205" t="s">
        <v>335</v>
      </c>
      <c r="B9" s="119" t="s">
        <v>64</v>
      </c>
      <c r="C9" s="202">
        <v>83</v>
      </c>
      <c r="D9" s="202">
        <v>55</v>
      </c>
      <c r="E9" s="210">
        <v>0.66265060240963858</v>
      </c>
      <c r="F9" s="211"/>
      <c r="G9" s="212">
        <v>4.3954545454545455</v>
      </c>
      <c r="H9" s="212">
        <v>0.85438828341859707</v>
      </c>
      <c r="I9" s="202">
        <v>967</v>
      </c>
      <c r="J9" s="202">
        <v>1455.1069810671256</v>
      </c>
      <c r="K9" s="204">
        <v>8.8399693835613451E-4</v>
      </c>
    </row>
    <row r="10" spans="1:11" ht="14.45" customHeight="1" x14ac:dyDescent="0.25">
      <c r="A10" s="205" t="s">
        <v>273</v>
      </c>
      <c r="B10" s="119" t="s">
        <v>110</v>
      </c>
      <c r="C10" s="202">
        <v>1209</v>
      </c>
      <c r="D10" s="202">
        <v>528</v>
      </c>
      <c r="E10" s="210">
        <v>0.43672456575682383</v>
      </c>
      <c r="F10" s="211"/>
      <c r="G10" s="212">
        <v>4.4536862003780717</v>
      </c>
      <c r="H10" s="212">
        <v>0.86860306760535166</v>
      </c>
      <c r="I10" s="202">
        <v>9406.1852551984884</v>
      </c>
      <c r="J10" s="202">
        <v>18489.29922300006</v>
      </c>
      <c r="K10" s="204">
        <v>1.123249638558948E-2</v>
      </c>
    </row>
    <row r="11" spans="1:11" ht="14.45" customHeight="1" x14ac:dyDescent="0.25">
      <c r="A11" s="205" t="s">
        <v>244</v>
      </c>
      <c r="B11" s="119" t="s">
        <v>130</v>
      </c>
      <c r="C11" s="202">
        <v>1395</v>
      </c>
      <c r="D11" s="202">
        <v>438</v>
      </c>
      <c r="E11" s="210">
        <v>0.3139784946236559</v>
      </c>
      <c r="F11" s="211"/>
      <c r="G11" s="212">
        <v>4.3202054794520546</v>
      </c>
      <c r="H11" s="212">
        <v>0.96318201420156913</v>
      </c>
      <c r="I11" s="202">
        <v>7569</v>
      </c>
      <c r="J11" s="202">
        <v>16773.322562211979</v>
      </c>
      <c r="K11" s="204">
        <v>1.019001763030594E-2</v>
      </c>
    </row>
    <row r="12" spans="1:11" ht="14.45" customHeight="1" x14ac:dyDescent="0.25">
      <c r="A12" s="205" t="s">
        <v>337</v>
      </c>
      <c r="B12" s="119" t="s">
        <v>62</v>
      </c>
      <c r="C12" s="202">
        <v>264</v>
      </c>
      <c r="D12" s="202">
        <v>156</v>
      </c>
      <c r="E12" s="210">
        <v>0.59090909090909094</v>
      </c>
      <c r="F12" s="211"/>
      <c r="G12" s="212">
        <v>4.3092948717948714</v>
      </c>
      <c r="H12" s="212">
        <v>0.9816473674778885</v>
      </c>
      <c r="I12" s="202">
        <v>2689</v>
      </c>
      <c r="J12" s="202">
        <v>4439.8532987012977</v>
      </c>
      <c r="K12" s="204">
        <v>2.6972702171520098E-3</v>
      </c>
    </row>
    <row r="13" spans="1:11" ht="14.45" customHeight="1" x14ac:dyDescent="0.25">
      <c r="A13" s="205" t="s">
        <v>315</v>
      </c>
      <c r="B13" s="119" t="s">
        <v>78</v>
      </c>
      <c r="C13" s="202">
        <v>32</v>
      </c>
      <c r="D13" s="202">
        <v>23</v>
      </c>
      <c r="E13" s="210">
        <v>0.71875</v>
      </c>
      <c r="F13" s="211"/>
      <c r="G13" s="212">
        <v>4.6086956521739131</v>
      </c>
      <c r="H13" s="212">
        <v>0.7934038082997672</v>
      </c>
      <c r="I13" s="202">
        <v>424</v>
      </c>
      <c r="J13" s="202">
        <v>589.91304347826087</v>
      </c>
      <c r="K13" s="204">
        <v>3.5838005804129626E-4</v>
      </c>
    </row>
    <row r="14" spans="1:11" ht="14.45" customHeight="1" x14ac:dyDescent="0.25">
      <c r="A14" s="205" t="s">
        <v>316</v>
      </c>
      <c r="B14" s="119" t="s">
        <v>77</v>
      </c>
      <c r="C14" s="202">
        <v>19</v>
      </c>
      <c r="D14" s="202">
        <v>15</v>
      </c>
      <c r="E14" s="210">
        <v>0.78947368421052633</v>
      </c>
      <c r="F14" s="211"/>
      <c r="G14" s="212">
        <v>4.3166666666666664</v>
      </c>
      <c r="H14" s="212">
        <v>0.82647175121449756</v>
      </c>
      <c r="I14" s="202">
        <v>259</v>
      </c>
      <c r="J14" s="202">
        <v>328.06666666666666</v>
      </c>
      <c r="K14" s="204">
        <v>1.9930488457786967E-4</v>
      </c>
    </row>
    <row r="15" spans="1:11" ht="14.45" customHeight="1" x14ac:dyDescent="0.25">
      <c r="A15" s="205" t="s">
        <v>385</v>
      </c>
      <c r="B15" s="119" t="s">
        <v>19</v>
      </c>
      <c r="C15" s="202">
        <v>18</v>
      </c>
      <c r="D15" s="202">
        <v>18</v>
      </c>
      <c r="E15" s="210">
        <v>1</v>
      </c>
      <c r="F15" s="211"/>
      <c r="G15" s="212">
        <v>4.5875000000000004</v>
      </c>
      <c r="H15" s="212">
        <v>0.78571225649088605</v>
      </c>
      <c r="I15" s="202">
        <v>330.3</v>
      </c>
      <c r="J15" s="202">
        <v>330.3</v>
      </c>
      <c r="K15" s="204">
        <v>2.0066166442614413E-4</v>
      </c>
    </row>
    <row r="16" spans="1:11" ht="14.45" customHeight="1" x14ac:dyDescent="0.25">
      <c r="A16" s="205" t="s">
        <v>292</v>
      </c>
      <c r="B16" s="119" t="s">
        <v>92</v>
      </c>
      <c r="C16" s="202">
        <v>111</v>
      </c>
      <c r="D16" s="202">
        <v>100</v>
      </c>
      <c r="E16" s="210">
        <v>0.90090090090090091</v>
      </c>
      <c r="F16" s="211"/>
      <c r="G16" s="212">
        <v>4.1550000000000002</v>
      </c>
      <c r="H16" s="212">
        <v>0.99296273847511329</v>
      </c>
      <c r="I16" s="202">
        <v>1662</v>
      </c>
      <c r="J16" s="202">
        <v>1844.8200000000002</v>
      </c>
      <c r="K16" s="204">
        <v>1.120752805832998E-3</v>
      </c>
    </row>
    <row r="17" spans="1:11" ht="14.45" customHeight="1" x14ac:dyDescent="0.25">
      <c r="A17" s="205" t="s">
        <v>386</v>
      </c>
      <c r="B17" s="119" t="s">
        <v>18</v>
      </c>
      <c r="C17" s="202">
        <v>171</v>
      </c>
      <c r="D17" s="202">
        <v>158</v>
      </c>
      <c r="E17" s="210">
        <v>0.92397660818713445</v>
      </c>
      <c r="F17" s="211"/>
      <c r="G17" s="212">
        <v>4.1617647058823533</v>
      </c>
      <c r="H17" s="212">
        <v>1.0503541996091956</v>
      </c>
      <c r="I17" s="202">
        <v>2630.2352941176473</v>
      </c>
      <c r="J17" s="202">
        <v>2846.6470588235297</v>
      </c>
      <c r="K17" s="204">
        <v>1.7293761333857622E-3</v>
      </c>
    </row>
    <row r="18" spans="1:11" ht="14.45" customHeight="1" x14ac:dyDescent="0.25">
      <c r="A18" s="205" t="s">
        <v>255</v>
      </c>
      <c r="B18" s="119" t="s">
        <v>124</v>
      </c>
      <c r="C18" s="202">
        <v>3270</v>
      </c>
      <c r="D18" s="202">
        <v>1088</v>
      </c>
      <c r="E18" s="210">
        <v>0.3327217125382263</v>
      </c>
      <c r="F18" s="211"/>
      <c r="G18" s="212">
        <v>4.3947606142728093</v>
      </c>
      <c r="H18" s="212">
        <v>0.91286578915954042</v>
      </c>
      <c r="I18" s="202">
        <v>19125.998193315267</v>
      </c>
      <c r="J18" s="202">
        <v>41652.964841252084</v>
      </c>
      <c r="K18" s="204">
        <v>2.5304732828729352E-2</v>
      </c>
    </row>
    <row r="19" spans="1:11" ht="14.45" customHeight="1" x14ac:dyDescent="0.25">
      <c r="A19" s="205" t="s">
        <v>228</v>
      </c>
      <c r="B19" s="119" t="s">
        <v>141</v>
      </c>
      <c r="C19" s="202">
        <v>94</v>
      </c>
      <c r="D19" s="202">
        <v>78</v>
      </c>
      <c r="E19" s="210">
        <v>0.82978723404255317</v>
      </c>
      <c r="F19" s="211"/>
      <c r="G19" s="212">
        <v>4.5673076923076925</v>
      </c>
      <c r="H19" s="212">
        <v>0.75231808104619746</v>
      </c>
      <c r="I19" s="202">
        <v>1425</v>
      </c>
      <c r="J19" s="202">
        <v>1717.3076923076922</v>
      </c>
      <c r="K19" s="204">
        <v>1.0432873747208055E-3</v>
      </c>
    </row>
    <row r="20" spans="1:11" ht="14.45" customHeight="1" x14ac:dyDescent="0.25">
      <c r="A20" s="205" t="s">
        <v>327</v>
      </c>
      <c r="B20" s="119" t="s">
        <v>70</v>
      </c>
      <c r="C20" s="202">
        <v>324</v>
      </c>
      <c r="D20" s="202">
        <v>167</v>
      </c>
      <c r="E20" s="210">
        <v>0.51543209876543206</v>
      </c>
      <c r="F20" s="211"/>
      <c r="G20" s="212">
        <v>4.3191176470588237</v>
      </c>
      <c r="H20" s="212">
        <v>0.90077700983833153</v>
      </c>
      <c r="I20" s="202">
        <v>2885.170588235294</v>
      </c>
      <c r="J20" s="202">
        <v>5207.9924244631193</v>
      </c>
      <c r="K20" s="204">
        <v>3.1639250021541603E-3</v>
      </c>
    </row>
    <row r="21" spans="1:11" ht="14.45" customHeight="1" x14ac:dyDescent="0.25">
      <c r="A21" s="205" t="s">
        <v>326</v>
      </c>
      <c r="B21" s="119" t="s">
        <v>71</v>
      </c>
      <c r="C21" s="202">
        <v>1009</v>
      </c>
      <c r="D21" s="202">
        <v>663</v>
      </c>
      <c r="E21" s="210">
        <v>0.65708622398414274</v>
      </c>
      <c r="F21" s="211"/>
      <c r="G21" s="212">
        <v>4.2518853695324283</v>
      </c>
      <c r="H21" s="212">
        <v>0.99047891526312892</v>
      </c>
      <c r="I21" s="202">
        <v>11276</v>
      </c>
      <c r="J21" s="202">
        <v>17095.718734815233</v>
      </c>
      <c r="K21" s="204">
        <v>1.0385877613954706E-2</v>
      </c>
    </row>
    <row r="22" spans="1:11" ht="14.45" customHeight="1" x14ac:dyDescent="0.25">
      <c r="A22" s="205" t="s">
        <v>235</v>
      </c>
      <c r="B22" s="119" t="s">
        <v>138</v>
      </c>
      <c r="C22" s="202">
        <v>14</v>
      </c>
      <c r="D22" s="202">
        <v>14</v>
      </c>
      <c r="E22" s="210">
        <v>1</v>
      </c>
      <c r="F22" s="211"/>
      <c r="G22" s="212">
        <v>4.125</v>
      </c>
      <c r="H22" s="212">
        <v>1.4150025239755377</v>
      </c>
      <c r="I22" s="202">
        <v>231</v>
      </c>
      <c r="J22" s="202">
        <v>231</v>
      </c>
      <c r="K22" s="204">
        <v>1.4033558729167209E-4</v>
      </c>
    </row>
    <row r="23" spans="1:11" ht="14.45" customHeight="1" x14ac:dyDescent="0.25">
      <c r="A23" s="205" t="s">
        <v>251</v>
      </c>
      <c r="B23" s="119" t="s">
        <v>127</v>
      </c>
      <c r="C23" s="202">
        <v>46</v>
      </c>
      <c r="D23" s="202">
        <v>46</v>
      </c>
      <c r="E23" s="210">
        <v>1</v>
      </c>
      <c r="F23" s="211"/>
      <c r="G23" s="212">
        <v>4.375</v>
      </c>
      <c r="H23" s="212">
        <v>0.83120198455636141</v>
      </c>
      <c r="I23" s="202">
        <v>805</v>
      </c>
      <c r="J23" s="202">
        <v>805</v>
      </c>
      <c r="K23" s="204">
        <v>4.8904825874370578E-4</v>
      </c>
    </row>
    <row r="24" spans="1:11" ht="14.45" customHeight="1" x14ac:dyDescent="0.25">
      <c r="A24" s="205" t="s">
        <v>355</v>
      </c>
      <c r="B24" s="119" t="s">
        <v>42</v>
      </c>
      <c r="C24" s="202">
        <v>138</v>
      </c>
      <c r="D24" s="202">
        <v>134</v>
      </c>
      <c r="E24" s="210">
        <v>0.97101449275362317</v>
      </c>
      <c r="F24" s="211"/>
      <c r="G24" s="212">
        <v>4.4029850746268657</v>
      </c>
      <c r="H24" s="212">
        <v>0.85404570978613203</v>
      </c>
      <c r="I24" s="202">
        <v>2360</v>
      </c>
      <c r="J24" s="202">
        <v>2430.4477611940301</v>
      </c>
      <c r="K24" s="204">
        <v>1.4765294976142589E-3</v>
      </c>
    </row>
    <row r="25" spans="1:11" ht="14.45" customHeight="1" x14ac:dyDescent="0.25">
      <c r="A25" s="205" t="s">
        <v>246</v>
      </c>
      <c r="B25" s="119" t="s">
        <v>128</v>
      </c>
      <c r="C25" s="202">
        <v>118</v>
      </c>
      <c r="D25" s="202">
        <v>81</v>
      </c>
      <c r="E25" s="210">
        <v>0.68644067796610164</v>
      </c>
      <c r="F25" s="211"/>
      <c r="G25" s="212">
        <v>4.1265432098765435</v>
      </c>
      <c r="H25" s="212">
        <v>1.0567416266130782</v>
      </c>
      <c r="I25" s="202">
        <v>1337</v>
      </c>
      <c r="J25" s="202">
        <v>1946.9827796610168</v>
      </c>
      <c r="K25" s="204">
        <v>1.1828180598722987E-3</v>
      </c>
    </row>
    <row r="26" spans="1:11" ht="14.45" customHeight="1" x14ac:dyDescent="0.25">
      <c r="A26" s="205" t="s">
        <v>319</v>
      </c>
      <c r="B26" s="119" t="s">
        <v>75</v>
      </c>
      <c r="C26" s="202">
        <v>129</v>
      </c>
      <c r="D26" s="202">
        <v>94</v>
      </c>
      <c r="E26" s="210">
        <v>0.72868217054263562</v>
      </c>
      <c r="F26" s="211"/>
      <c r="G26" s="212">
        <v>4.5531914893617023</v>
      </c>
      <c r="H26" s="212">
        <v>0.74186397326004661</v>
      </c>
      <c r="I26" s="202">
        <v>1712</v>
      </c>
      <c r="J26" s="202">
        <v>2349.4468085106382</v>
      </c>
      <c r="K26" s="204">
        <v>1.4273203362895458E-3</v>
      </c>
    </row>
    <row r="27" spans="1:11" ht="14.45" customHeight="1" x14ac:dyDescent="0.25">
      <c r="A27" s="205" t="s">
        <v>298</v>
      </c>
      <c r="B27" s="119" t="s">
        <v>88</v>
      </c>
      <c r="C27" s="202">
        <v>27</v>
      </c>
      <c r="D27" s="202">
        <v>27</v>
      </c>
      <c r="E27" s="210">
        <v>1</v>
      </c>
      <c r="F27" s="211"/>
      <c r="G27" s="212">
        <v>4.8611111111111107</v>
      </c>
      <c r="H27" s="212">
        <v>0.41851442148109869</v>
      </c>
      <c r="I27" s="202">
        <v>525</v>
      </c>
      <c r="J27" s="202">
        <v>525</v>
      </c>
      <c r="K27" s="204">
        <v>3.1894451657198201E-4</v>
      </c>
    </row>
    <row r="28" spans="1:11" ht="14.45" customHeight="1" x14ac:dyDescent="0.25">
      <c r="A28" s="205" t="s">
        <v>305</v>
      </c>
      <c r="B28" s="119" t="s">
        <v>86</v>
      </c>
      <c r="C28" s="202">
        <v>131</v>
      </c>
      <c r="D28" s="202">
        <v>105</v>
      </c>
      <c r="E28" s="210">
        <v>0.80152671755725191</v>
      </c>
      <c r="F28" s="211"/>
      <c r="G28" s="212">
        <v>4.4309523809523812</v>
      </c>
      <c r="H28" s="212">
        <v>0.91156278556012782</v>
      </c>
      <c r="I28" s="202">
        <v>1861</v>
      </c>
      <c r="J28" s="202">
        <v>2321.8190476190475</v>
      </c>
      <c r="K28" s="204">
        <v>1.4105361023056702E-3</v>
      </c>
    </row>
    <row r="29" spans="1:11" ht="14.45" customHeight="1" x14ac:dyDescent="0.25">
      <c r="A29" s="205" t="s">
        <v>282</v>
      </c>
      <c r="B29" s="119" t="s">
        <v>103</v>
      </c>
      <c r="C29" s="202">
        <v>73</v>
      </c>
      <c r="D29" s="202">
        <v>46</v>
      </c>
      <c r="E29" s="210">
        <v>0.63013698630136983</v>
      </c>
      <c r="F29" s="211"/>
      <c r="G29" s="212">
        <v>4.2934782608695654</v>
      </c>
      <c r="H29" s="212">
        <v>0.88511904724069557</v>
      </c>
      <c r="I29" s="202">
        <v>790</v>
      </c>
      <c r="J29" s="202">
        <v>1241.1626614481409</v>
      </c>
      <c r="K29" s="204">
        <v>7.5402290484337506E-4</v>
      </c>
    </row>
    <row r="30" spans="1:11" ht="14.45" customHeight="1" x14ac:dyDescent="0.25">
      <c r="A30" s="205" t="s">
        <v>289</v>
      </c>
      <c r="B30" s="119" t="s">
        <v>95</v>
      </c>
      <c r="C30" s="202">
        <v>48</v>
      </c>
      <c r="D30" s="202">
        <v>34</v>
      </c>
      <c r="E30" s="210">
        <v>0.70833333333333337</v>
      </c>
      <c r="F30" s="211"/>
      <c r="G30" s="212">
        <v>4.2647058823529411</v>
      </c>
      <c r="H30" s="212">
        <v>0.95667388042885715</v>
      </c>
      <c r="I30" s="202">
        <v>580</v>
      </c>
      <c r="J30" s="202">
        <v>818.82352941176475</v>
      </c>
      <c r="K30" s="204">
        <v>4.9744623761142752E-4</v>
      </c>
    </row>
    <row r="31" spans="1:11" ht="14.45" customHeight="1" x14ac:dyDescent="0.25">
      <c r="A31" s="205" t="s">
        <v>279</v>
      </c>
      <c r="B31" s="119" t="s">
        <v>107</v>
      </c>
      <c r="C31" s="202">
        <v>22</v>
      </c>
      <c r="D31" s="202">
        <v>11</v>
      </c>
      <c r="E31" s="210">
        <v>0.5</v>
      </c>
      <c r="F31" s="211"/>
      <c r="G31" s="212">
        <v>3.7954545454545454</v>
      </c>
      <c r="H31" s="212">
        <v>1.1789738499402671</v>
      </c>
      <c r="I31" s="202">
        <v>167</v>
      </c>
      <c r="J31" s="202">
        <v>306.70742857142858</v>
      </c>
      <c r="K31" s="204">
        <v>1.8632886197095239E-4</v>
      </c>
    </row>
    <row r="32" spans="1:11" ht="14.45" customHeight="1" x14ac:dyDescent="0.25">
      <c r="A32" s="205" t="s">
        <v>361</v>
      </c>
      <c r="B32" s="119" t="s">
        <v>76</v>
      </c>
      <c r="C32" s="202">
        <v>43</v>
      </c>
      <c r="D32" s="202">
        <v>25</v>
      </c>
      <c r="E32" s="210">
        <v>0.58139534883720934</v>
      </c>
      <c r="F32" s="211"/>
      <c r="G32" s="212">
        <v>4.4000000000000004</v>
      </c>
      <c r="H32" s="212">
        <v>0.98994949366116491</v>
      </c>
      <c r="I32" s="202">
        <v>440</v>
      </c>
      <c r="J32" s="202">
        <v>735.0309634551495</v>
      </c>
      <c r="K32" s="204">
        <v>4.4654113391360162E-4</v>
      </c>
    </row>
    <row r="33" spans="1:11" ht="14.45" customHeight="1" x14ac:dyDescent="0.25">
      <c r="A33" s="205" t="s">
        <v>362</v>
      </c>
      <c r="B33" s="119" t="s">
        <v>33</v>
      </c>
      <c r="C33" s="202">
        <v>29</v>
      </c>
      <c r="D33" s="202">
        <v>13</v>
      </c>
      <c r="E33" s="210">
        <v>0.44827586206896552</v>
      </c>
      <c r="F33" s="211"/>
      <c r="G33" s="212">
        <v>4.5769230769230766</v>
      </c>
      <c r="H33" s="212">
        <v>0.71645907731527569</v>
      </c>
      <c r="I33" s="202">
        <v>238</v>
      </c>
      <c r="J33" s="202">
        <v>462.21710344827585</v>
      </c>
      <c r="K33" s="204">
        <v>2.8080306782973742E-4</v>
      </c>
    </row>
    <row r="34" spans="1:11" ht="14.45" customHeight="1" x14ac:dyDescent="0.25">
      <c r="A34" s="205" t="s">
        <v>366</v>
      </c>
      <c r="B34" s="119" t="s">
        <v>32</v>
      </c>
      <c r="C34" s="202">
        <v>6035</v>
      </c>
      <c r="D34" s="202">
        <v>2093</v>
      </c>
      <c r="E34" s="210">
        <v>0.3468102734051367</v>
      </c>
      <c r="F34" s="211"/>
      <c r="G34" s="212">
        <v>4.0764933880528957</v>
      </c>
      <c r="H34" s="212">
        <v>1.0902959253398321</v>
      </c>
      <c r="I34" s="202">
        <v>34128.402644778842</v>
      </c>
      <c r="J34" s="202">
        <v>73344.615367539474</v>
      </c>
      <c r="K34" s="204">
        <v>4.4557834079157796E-2</v>
      </c>
    </row>
    <row r="35" spans="1:11" ht="14.45" customHeight="1" x14ac:dyDescent="0.25">
      <c r="A35" s="205" t="s">
        <v>358</v>
      </c>
      <c r="B35" s="119" t="s">
        <v>39</v>
      </c>
      <c r="C35" s="202">
        <v>292</v>
      </c>
      <c r="D35" s="202">
        <v>205</v>
      </c>
      <c r="E35" s="210">
        <v>0.70205479452054798</v>
      </c>
      <c r="F35" s="211"/>
      <c r="G35" s="212">
        <v>4.2658536585365852</v>
      </c>
      <c r="H35" s="212">
        <v>1.0347875370707085</v>
      </c>
      <c r="I35" s="202">
        <v>3498</v>
      </c>
      <c r="J35" s="202">
        <v>4982.5170731707312</v>
      </c>
      <c r="K35" s="204">
        <v>3.0269457127887348E-3</v>
      </c>
    </row>
    <row r="36" spans="1:11" ht="14.45" customHeight="1" x14ac:dyDescent="0.25">
      <c r="A36" s="205" t="s">
        <v>364</v>
      </c>
      <c r="B36" s="119" t="s">
        <v>35</v>
      </c>
      <c r="C36" s="202">
        <v>612</v>
      </c>
      <c r="D36" s="202">
        <v>453</v>
      </c>
      <c r="E36" s="210">
        <v>0.74019607843137258</v>
      </c>
      <c r="F36" s="211"/>
      <c r="G36" s="212">
        <v>4.2748344370860929</v>
      </c>
      <c r="H36" s="212">
        <v>0.96607248913661936</v>
      </c>
      <c r="I36" s="202">
        <v>7746</v>
      </c>
      <c r="J36" s="202">
        <v>10464.794701986755</v>
      </c>
      <c r="K36" s="204">
        <v>6.3575026423813418E-3</v>
      </c>
    </row>
    <row r="37" spans="1:11" ht="14.45" customHeight="1" x14ac:dyDescent="0.25">
      <c r="A37" s="205" t="s">
        <v>306</v>
      </c>
      <c r="B37" s="119" t="s">
        <v>529</v>
      </c>
      <c r="C37" s="202">
        <v>1506</v>
      </c>
      <c r="D37" s="202">
        <v>547</v>
      </c>
      <c r="E37" s="210">
        <v>0.36321381142098275</v>
      </c>
      <c r="F37" s="211"/>
      <c r="G37" s="212">
        <v>4.3350091407678244</v>
      </c>
      <c r="H37" s="212">
        <v>0.93172754857808904</v>
      </c>
      <c r="I37" s="202">
        <v>9485</v>
      </c>
      <c r="J37" s="202">
        <v>20066.610677290835</v>
      </c>
      <c r="K37" s="204">
        <v>1.2190734174679425E-2</v>
      </c>
    </row>
    <row r="38" spans="1:11" ht="14.45" customHeight="1" x14ac:dyDescent="0.25">
      <c r="A38" s="205" t="s">
        <v>240</v>
      </c>
      <c r="B38" s="119" t="s">
        <v>135</v>
      </c>
      <c r="C38" s="202">
        <v>1642</v>
      </c>
      <c r="D38" s="202">
        <v>439</v>
      </c>
      <c r="E38" s="210">
        <v>0.26735688185140072</v>
      </c>
      <c r="F38" s="211"/>
      <c r="G38" s="212">
        <v>4.1474943052391797</v>
      </c>
      <c r="H38" s="212">
        <v>1.0922169715023344</v>
      </c>
      <c r="I38" s="202">
        <v>7283</v>
      </c>
      <c r="J38" s="202">
        <v>16832.202966417259</v>
      </c>
      <c r="K38" s="204">
        <v>1.0225788262791304E-2</v>
      </c>
    </row>
    <row r="39" spans="1:11" ht="14.45" customHeight="1" x14ac:dyDescent="0.25">
      <c r="A39" s="205" t="s">
        <v>261</v>
      </c>
      <c r="B39" s="119" t="s">
        <v>118</v>
      </c>
      <c r="C39" s="202">
        <v>191</v>
      </c>
      <c r="D39" s="202">
        <v>151</v>
      </c>
      <c r="E39" s="210">
        <v>0.79057591623036649</v>
      </c>
      <c r="F39" s="211"/>
      <c r="G39" s="212">
        <v>4.3642384105960268</v>
      </c>
      <c r="H39" s="212">
        <v>0.88387649873423468</v>
      </c>
      <c r="I39" s="202">
        <v>2636</v>
      </c>
      <c r="J39" s="202">
        <v>3334.2781456953644</v>
      </c>
      <c r="K39" s="204">
        <v>2.0256185358006338E-3</v>
      </c>
    </row>
    <row r="40" spans="1:11" ht="14.45" customHeight="1" x14ac:dyDescent="0.25">
      <c r="A40" s="205" t="s">
        <v>310</v>
      </c>
      <c r="B40" s="119" t="s">
        <v>81</v>
      </c>
      <c r="C40" s="202">
        <v>1359</v>
      </c>
      <c r="D40" s="202">
        <v>721</v>
      </c>
      <c r="E40" s="210">
        <v>0.53053715967623249</v>
      </c>
      <c r="F40" s="211"/>
      <c r="G40" s="212">
        <v>4.2024965325936199</v>
      </c>
      <c r="H40" s="212">
        <v>1.0044529885265718</v>
      </c>
      <c r="I40" s="202">
        <v>12120</v>
      </c>
      <c r="J40" s="202">
        <v>21504.220548722802</v>
      </c>
      <c r="K40" s="204">
        <v>1.3064101385085097E-2</v>
      </c>
    </row>
    <row r="41" spans="1:11" ht="14.45" customHeight="1" x14ac:dyDescent="0.25">
      <c r="A41" s="205" t="s">
        <v>374</v>
      </c>
      <c r="B41" s="119" t="s">
        <v>28</v>
      </c>
      <c r="C41" s="202">
        <v>21</v>
      </c>
      <c r="D41" s="202">
        <v>21</v>
      </c>
      <c r="E41" s="210">
        <v>1</v>
      </c>
      <c r="F41" s="211"/>
      <c r="G41" s="212">
        <v>4.0760869565217392</v>
      </c>
      <c r="H41" s="212">
        <v>1.1908500403180573</v>
      </c>
      <c r="I41" s="202">
        <v>342.39130434782606</v>
      </c>
      <c r="J41" s="202">
        <v>342.39130434782612</v>
      </c>
      <c r="K41" s="204">
        <v>2.0800729341651004E-4</v>
      </c>
    </row>
    <row r="42" spans="1:11" ht="14.45" customHeight="1" x14ac:dyDescent="0.25">
      <c r="A42" s="205" t="s">
        <v>270</v>
      </c>
      <c r="B42" s="119" t="s">
        <v>112</v>
      </c>
      <c r="C42" s="202">
        <v>1908</v>
      </c>
      <c r="D42" s="202">
        <v>1384</v>
      </c>
      <c r="E42" s="210">
        <v>0.72536687631027252</v>
      </c>
      <c r="F42" s="211"/>
      <c r="G42" s="212">
        <v>4.1750361271676297</v>
      </c>
      <c r="H42" s="212">
        <v>1.046204086220422</v>
      </c>
      <c r="I42" s="202">
        <v>23113</v>
      </c>
      <c r="J42" s="202">
        <v>31863.875722543351</v>
      </c>
      <c r="K42" s="204">
        <v>1.9357730358926292E-2</v>
      </c>
    </row>
    <row r="43" spans="1:11" ht="14.45" customHeight="1" x14ac:dyDescent="0.25">
      <c r="A43" s="205" t="s">
        <v>311</v>
      </c>
      <c r="B43" s="119" t="s">
        <v>80</v>
      </c>
      <c r="C43" s="202">
        <v>1244</v>
      </c>
      <c r="D43" s="202">
        <v>714</v>
      </c>
      <c r="E43" s="210">
        <v>0.57395498392282962</v>
      </c>
      <c r="F43" s="211"/>
      <c r="G43" s="212">
        <v>4.215686274509804</v>
      </c>
      <c r="H43" s="212">
        <v>1.0669364463584106</v>
      </c>
      <c r="I43" s="202">
        <v>12040</v>
      </c>
      <c r="J43" s="202">
        <v>20295.867266881029</v>
      </c>
      <c r="K43" s="204">
        <v>1.2330010616846635E-2</v>
      </c>
    </row>
    <row r="44" spans="1:11" ht="14.45" customHeight="1" x14ac:dyDescent="0.25">
      <c r="A44" s="205" t="s">
        <v>281</v>
      </c>
      <c r="B44" s="119" t="s">
        <v>104</v>
      </c>
      <c r="C44" s="202">
        <v>1013</v>
      </c>
      <c r="D44" s="202">
        <v>717</v>
      </c>
      <c r="E44" s="210">
        <v>0.70779861796643628</v>
      </c>
      <c r="F44" s="211"/>
      <c r="G44" s="212">
        <v>4.3322873082287305</v>
      </c>
      <c r="H44" s="212">
        <v>0.98388872726304466</v>
      </c>
      <c r="I44" s="202">
        <v>12425</v>
      </c>
      <c r="J44" s="202">
        <v>17554.428172942818</v>
      </c>
      <c r="K44" s="204">
        <v>1.0664549728222531E-2</v>
      </c>
    </row>
    <row r="45" spans="1:11" ht="14.45" customHeight="1" x14ac:dyDescent="0.25">
      <c r="A45" s="205" t="s">
        <v>242</v>
      </c>
      <c r="B45" s="119" t="s">
        <v>132</v>
      </c>
      <c r="C45" s="202">
        <v>2429</v>
      </c>
      <c r="D45" s="202">
        <v>1708</v>
      </c>
      <c r="E45" s="210">
        <v>0.70317002881844382</v>
      </c>
      <c r="F45" s="211"/>
      <c r="G45" s="212">
        <v>4.0038033937975426</v>
      </c>
      <c r="H45" s="212">
        <v>1.1477903257623245</v>
      </c>
      <c r="I45" s="202">
        <v>27353.984786424808</v>
      </c>
      <c r="J45" s="202">
        <v>38900.953774136928</v>
      </c>
      <c r="K45" s="204">
        <v>2.3632849325106901E-2</v>
      </c>
    </row>
    <row r="46" spans="1:11" ht="14.45" customHeight="1" x14ac:dyDescent="0.25">
      <c r="A46" s="205" t="s">
        <v>271</v>
      </c>
      <c r="B46" s="119" t="s">
        <v>111</v>
      </c>
      <c r="C46" s="202">
        <v>2387</v>
      </c>
      <c r="D46" s="202">
        <v>1093</v>
      </c>
      <c r="E46" s="210">
        <v>0.45789694176790952</v>
      </c>
      <c r="F46" s="211"/>
      <c r="G46" s="212">
        <v>4.1735857664233578</v>
      </c>
      <c r="H46" s="212">
        <v>1.081414535575332</v>
      </c>
      <c r="I46" s="202">
        <v>18246.916970802919</v>
      </c>
      <c r="J46" s="202">
        <v>35078.998423958546</v>
      </c>
      <c r="K46" s="204">
        <v>2.1310960369826243E-2</v>
      </c>
    </row>
    <row r="47" spans="1:11" ht="14.45" customHeight="1" x14ac:dyDescent="0.25">
      <c r="A47" s="205" t="s">
        <v>328</v>
      </c>
      <c r="B47" s="119" t="s">
        <v>69</v>
      </c>
      <c r="C47" s="202">
        <v>1432</v>
      </c>
      <c r="D47" s="202">
        <v>843</v>
      </c>
      <c r="E47" s="210">
        <v>0.58868715083798884</v>
      </c>
      <c r="F47" s="211"/>
      <c r="G47" s="212">
        <v>4.1560304449648715</v>
      </c>
      <c r="H47" s="212">
        <v>1.0569048882785121</v>
      </c>
      <c r="I47" s="202">
        <v>14014.134660421545</v>
      </c>
      <c r="J47" s="202">
        <v>23202.497017517675</v>
      </c>
      <c r="K47" s="204">
        <v>1.4095827037171485E-2</v>
      </c>
    </row>
    <row r="48" spans="1:11" ht="14.45" customHeight="1" x14ac:dyDescent="0.25">
      <c r="A48" s="205" t="s">
        <v>253</v>
      </c>
      <c r="B48" s="119" t="s">
        <v>126</v>
      </c>
      <c r="C48" s="202">
        <v>36</v>
      </c>
      <c r="D48" s="202">
        <v>27</v>
      </c>
      <c r="E48" s="210">
        <v>0.75</v>
      </c>
      <c r="F48" s="211"/>
      <c r="G48" s="212">
        <v>4.5</v>
      </c>
      <c r="H48" s="212">
        <v>0.78763593770876794</v>
      </c>
      <c r="I48" s="202">
        <v>486</v>
      </c>
      <c r="J48" s="202">
        <v>648</v>
      </c>
      <c r="K48" s="204">
        <v>3.9366866045456068E-4</v>
      </c>
    </row>
    <row r="49" spans="1:11" ht="14.45" customHeight="1" x14ac:dyDescent="0.25">
      <c r="A49" s="205" t="s">
        <v>236</v>
      </c>
      <c r="B49" s="119" t="s">
        <v>137</v>
      </c>
      <c r="C49" s="202">
        <v>563</v>
      </c>
      <c r="D49" s="202">
        <v>369</v>
      </c>
      <c r="E49" s="210">
        <v>0.65541740674955595</v>
      </c>
      <c r="F49" s="211"/>
      <c r="G49" s="212">
        <v>4.2472899728997291</v>
      </c>
      <c r="H49" s="212">
        <v>1.0056544606550992</v>
      </c>
      <c r="I49" s="202">
        <v>6269</v>
      </c>
      <c r="J49" s="202">
        <v>9525.8703709718338</v>
      </c>
      <c r="K49" s="204">
        <v>5.7870935626609119E-3</v>
      </c>
    </row>
    <row r="50" spans="1:11" ht="14.45" customHeight="1" x14ac:dyDescent="0.25">
      <c r="A50" s="205" t="s">
        <v>262</v>
      </c>
      <c r="B50" s="119" t="s">
        <v>117</v>
      </c>
      <c r="C50" s="202">
        <v>54</v>
      </c>
      <c r="D50" s="202">
        <v>47</v>
      </c>
      <c r="E50" s="210">
        <v>0.87037037037037035</v>
      </c>
      <c r="F50" s="211"/>
      <c r="G50" s="212">
        <v>4.1648936170212769</v>
      </c>
      <c r="H50" s="212">
        <v>0.99436791072225705</v>
      </c>
      <c r="I50" s="202">
        <v>783</v>
      </c>
      <c r="J50" s="202">
        <v>899.61702127659601</v>
      </c>
      <c r="K50" s="204">
        <v>5.4652936371617211E-4</v>
      </c>
    </row>
    <row r="51" spans="1:11" ht="14.45" customHeight="1" x14ac:dyDescent="0.25">
      <c r="A51" s="205" t="s">
        <v>357</v>
      </c>
      <c r="B51" s="119" t="s">
        <v>40</v>
      </c>
      <c r="C51" s="202">
        <v>38</v>
      </c>
      <c r="D51" s="202">
        <v>32</v>
      </c>
      <c r="E51" s="210">
        <v>0.84210526315789469</v>
      </c>
      <c r="F51" s="211"/>
      <c r="G51" s="212">
        <v>4.265625</v>
      </c>
      <c r="H51" s="212">
        <v>1.0115302068524696</v>
      </c>
      <c r="I51" s="202">
        <v>546</v>
      </c>
      <c r="J51" s="202">
        <v>648.375</v>
      </c>
      <c r="K51" s="204">
        <v>3.9389647796639782E-4</v>
      </c>
    </row>
    <row r="52" spans="1:11" ht="14.45" customHeight="1" x14ac:dyDescent="0.25">
      <c r="A52" s="205" t="s">
        <v>356</v>
      </c>
      <c r="B52" s="119" t="s">
        <v>41</v>
      </c>
      <c r="C52" s="202">
        <v>1052</v>
      </c>
      <c r="D52" s="202">
        <v>216</v>
      </c>
      <c r="E52" s="210">
        <v>0.20532319391634982</v>
      </c>
      <c r="F52" s="211"/>
      <c r="G52" s="212">
        <v>4.2981366459627326</v>
      </c>
      <c r="H52" s="212">
        <v>0.94306702301549705</v>
      </c>
      <c r="I52" s="202">
        <v>3713.5900621118017</v>
      </c>
      <c r="J52" s="202">
        <v>9052.6634770597921</v>
      </c>
      <c r="K52" s="204">
        <v>5.4996140502469966E-3</v>
      </c>
    </row>
    <row r="53" spans="1:11" ht="14.45" customHeight="1" x14ac:dyDescent="0.25">
      <c r="A53" s="205" t="s">
        <v>334</v>
      </c>
      <c r="B53" s="119" t="s">
        <v>65</v>
      </c>
      <c r="C53" s="202">
        <v>13</v>
      </c>
      <c r="D53" s="202">
        <v>11</v>
      </c>
      <c r="E53" s="210">
        <v>0.84615384615384615</v>
      </c>
      <c r="F53" s="211"/>
      <c r="G53" s="212">
        <v>4.7272727272727275</v>
      </c>
      <c r="H53" s="212">
        <v>0.53782543482723466</v>
      </c>
      <c r="I53" s="202">
        <v>208</v>
      </c>
      <c r="J53" s="202">
        <v>245.81818181818184</v>
      </c>
      <c r="K53" s="204">
        <v>1.4933783078972113E-4</v>
      </c>
    </row>
    <row r="54" spans="1:11" ht="14.45" customHeight="1" x14ac:dyDescent="0.25">
      <c r="A54" s="205" t="s">
        <v>321</v>
      </c>
      <c r="B54" s="119" t="s">
        <v>73</v>
      </c>
      <c r="C54" s="202">
        <v>33</v>
      </c>
      <c r="D54" s="202">
        <v>8</v>
      </c>
      <c r="E54" s="210">
        <v>0.24242424242424243</v>
      </c>
      <c r="F54" s="211"/>
      <c r="G54" s="212">
        <v>4.125</v>
      </c>
      <c r="H54" s="212">
        <v>1.2686114456365274</v>
      </c>
      <c r="I54" s="202">
        <v>132</v>
      </c>
      <c r="J54" s="202">
        <v>311.78742857142851</v>
      </c>
      <c r="K54" s="204">
        <v>1.8941502986463931E-4</v>
      </c>
    </row>
    <row r="55" spans="1:11" ht="14.45" customHeight="1" x14ac:dyDescent="0.25">
      <c r="A55" s="205" t="s">
        <v>320</v>
      </c>
      <c r="B55" s="119" t="s">
        <v>74</v>
      </c>
      <c r="C55" s="202">
        <v>57</v>
      </c>
      <c r="D55" s="202">
        <v>47</v>
      </c>
      <c r="E55" s="210">
        <v>0.82456140350877194</v>
      </c>
      <c r="F55" s="211"/>
      <c r="G55" s="212">
        <v>4.4095744680851068</v>
      </c>
      <c r="H55" s="212">
        <v>0.8037901108665374</v>
      </c>
      <c r="I55" s="202">
        <v>829</v>
      </c>
      <c r="J55" s="202">
        <v>1005.3829787234044</v>
      </c>
      <c r="K55" s="204">
        <v>6.1078359641644861E-4</v>
      </c>
    </row>
    <row r="56" spans="1:11" ht="14.45" customHeight="1" x14ac:dyDescent="0.25">
      <c r="A56" s="205" t="s">
        <v>287</v>
      </c>
      <c r="B56" s="119" t="s">
        <v>101</v>
      </c>
      <c r="C56" s="202">
        <v>26</v>
      </c>
      <c r="D56" s="202">
        <v>23</v>
      </c>
      <c r="E56" s="210">
        <v>0.88461538461538458</v>
      </c>
      <c r="F56" s="211"/>
      <c r="G56" s="212">
        <v>4.0543478260869561</v>
      </c>
      <c r="H56" s="212">
        <v>1.0253751215465403</v>
      </c>
      <c r="I56" s="202">
        <v>373</v>
      </c>
      <c r="J56" s="202">
        <v>421.65217391304338</v>
      </c>
      <c r="K56" s="204">
        <v>2.5615933099089696E-4</v>
      </c>
    </row>
    <row r="57" spans="1:11" ht="14.45" customHeight="1" x14ac:dyDescent="0.25">
      <c r="A57" s="205" t="s">
        <v>349</v>
      </c>
      <c r="B57" s="119" t="s">
        <v>531</v>
      </c>
      <c r="C57" s="202">
        <v>3922</v>
      </c>
      <c r="D57" s="202">
        <v>1177</v>
      </c>
      <c r="E57" s="210">
        <v>0.30010198878123406</v>
      </c>
      <c r="F57" s="211"/>
      <c r="G57" s="212">
        <v>4.1776929601357082</v>
      </c>
      <c r="H57" s="212">
        <v>1.062018069059544</v>
      </c>
      <c r="I57" s="202">
        <v>19668.578456318915</v>
      </c>
      <c r="J57" s="202">
        <v>44143.437056004426</v>
      </c>
      <c r="K57" s="204">
        <v>2.6817727984101047E-2</v>
      </c>
    </row>
    <row r="58" spans="1:11" ht="14.45" customHeight="1" x14ac:dyDescent="0.25">
      <c r="A58" s="205" t="s">
        <v>343</v>
      </c>
      <c r="B58" s="119" t="s">
        <v>53</v>
      </c>
      <c r="C58" s="202">
        <v>6</v>
      </c>
      <c r="D58" s="202">
        <v>6</v>
      </c>
      <c r="E58" s="210">
        <v>1</v>
      </c>
      <c r="F58" s="211"/>
      <c r="G58" s="212">
        <v>4.0750000000000002</v>
      </c>
      <c r="H58" s="212">
        <v>0.81815340859767782</v>
      </c>
      <c r="I58" s="202">
        <v>97.8</v>
      </c>
      <c r="J58" s="202">
        <v>97.800000000000011</v>
      </c>
      <c r="K58" s="204">
        <v>5.9414807087123517E-5</v>
      </c>
    </row>
    <row r="59" spans="1:11" ht="14.45" customHeight="1" x14ac:dyDescent="0.25">
      <c r="A59" s="205" t="s">
        <v>219</v>
      </c>
      <c r="B59" s="119" t="s">
        <v>143</v>
      </c>
      <c r="C59" s="202">
        <v>1214</v>
      </c>
      <c r="D59" s="202">
        <v>825</v>
      </c>
      <c r="E59" s="210">
        <v>0.67957166392092261</v>
      </c>
      <c r="F59" s="211"/>
      <c r="G59" s="212">
        <v>4.3112121212121215</v>
      </c>
      <c r="H59" s="212">
        <v>0.99382718324470531</v>
      </c>
      <c r="I59" s="202">
        <v>14227</v>
      </c>
      <c r="J59" s="202">
        <v>20917.178946575666</v>
      </c>
      <c r="K59" s="204">
        <v>1.2707465766028983E-2</v>
      </c>
    </row>
    <row r="60" spans="1:11" ht="14.45" customHeight="1" x14ac:dyDescent="0.25">
      <c r="A60" s="205" t="s">
        <v>259</v>
      </c>
      <c r="B60" s="119" t="s">
        <v>524</v>
      </c>
      <c r="C60" s="202">
        <v>1555</v>
      </c>
      <c r="D60" s="202">
        <v>297</v>
      </c>
      <c r="E60" s="210">
        <v>0.1909967845659164</v>
      </c>
      <c r="F60" s="211"/>
      <c r="G60" s="212">
        <v>4.2988215488215484</v>
      </c>
      <c r="H60" s="212">
        <v>0.97998417416976213</v>
      </c>
      <c r="I60" s="202">
        <v>5107</v>
      </c>
      <c r="J60" s="202">
        <v>12504.854285714282</v>
      </c>
      <c r="K60" s="204">
        <v>7.596866104686132E-3</v>
      </c>
    </row>
    <row r="61" spans="1:11" ht="14.45" customHeight="1" x14ac:dyDescent="0.25">
      <c r="A61" s="205" t="s">
        <v>324</v>
      </c>
      <c r="B61" s="119" t="s">
        <v>59</v>
      </c>
      <c r="C61" s="202">
        <v>1705</v>
      </c>
      <c r="D61" s="202">
        <v>998</v>
      </c>
      <c r="E61" s="210">
        <v>0.58533724340175952</v>
      </c>
      <c r="F61" s="211"/>
      <c r="G61" s="212">
        <v>4.2269539078156315</v>
      </c>
      <c r="H61" s="212">
        <v>0.98005916751153599</v>
      </c>
      <c r="I61" s="202">
        <v>16874</v>
      </c>
      <c r="J61" s="202">
        <v>28052.74576958525</v>
      </c>
      <c r="K61" s="204">
        <v>1.7042417977137299E-2</v>
      </c>
    </row>
    <row r="62" spans="1:11" ht="14.45" customHeight="1" x14ac:dyDescent="0.25">
      <c r="A62" s="205" t="s">
        <v>317</v>
      </c>
      <c r="B62" s="119" t="s">
        <v>164</v>
      </c>
      <c r="C62" s="202">
        <v>15</v>
      </c>
      <c r="D62" s="202">
        <v>14</v>
      </c>
      <c r="E62" s="210">
        <v>0.93333333333333335</v>
      </c>
      <c r="F62" s="211"/>
      <c r="G62" s="212">
        <v>4.1428571428571432</v>
      </c>
      <c r="H62" s="212">
        <v>1.1088696211614291</v>
      </c>
      <c r="I62" s="202">
        <v>232</v>
      </c>
      <c r="J62" s="202">
        <v>248.57142857142858</v>
      </c>
      <c r="K62" s="204">
        <v>1.5101046498918334E-4</v>
      </c>
    </row>
    <row r="63" spans="1:11" ht="14.45" customHeight="1" x14ac:dyDescent="0.25">
      <c r="A63" s="205" t="s">
        <v>371</v>
      </c>
      <c r="B63" s="119" t="s">
        <v>459</v>
      </c>
      <c r="C63" s="202">
        <v>5</v>
      </c>
      <c r="D63" s="202">
        <v>3</v>
      </c>
      <c r="E63" s="210">
        <v>0.6</v>
      </c>
      <c r="F63" s="211"/>
      <c r="G63" s="212">
        <v>3.4166666666666665</v>
      </c>
      <c r="H63" s="212">
        <v>0.95379359518830031</v>
      </c>
      <c r="I63" s="202">
        <v>41</v>
      </c>
      <c r="J63" s="202">
        <v>66.935428571428574</v>
      </c>
      <c r="K63" s="204">
        <v>4.0664167442386131E-5</v>
      </c>
    </row>
    <row r="64" spans="1:11" ht="14.45" customHeight="1" x14ac:dyDescent="0.25">
      <c r="A64" s="205" t="s">
        <v>237</v>
      </c>
      <c r="B64" s="119" t="s">
        <v>136</v>
      </c>
      <c r="C64" s="202">
        <v>941</v>
      </c>
      <c r="D64" s="202">
        <v>325</v>
      </c>
      <c r="E64" s="210">
        <v>0.34537725823591925</v>
      </c>
      <c r="F64" s="211"/>
      <c r="G64" s="212">
        <v>4.1204000000000001</v>
      </c>
      <c r="H64" s="212">
        <v>1.0723356937078987</v>
      </c>
      <c r="I64" s="202">
        <v>5356.52</v>
      </c>
      <c r="J64" s="202">
        <v>11527.240798348264</v>
      </c>
      <c r="K64" s="204">
        <v>7.0029528454057435E-3</v>
      </c>
    </row>
    <row r="65" spans="1:11" ht="14.45" customHeight="1" x14ac:dyDescent="0.25">
      <c r="A65" s="205" t="s">
        <v>369</v>
      </c>
      <c r="B65" s="119" t="s">
        <v>30</v>
      </c>
      <c r="C65" s="202">
        <v>69</v>
      </c>
      <c r="D65" s="202">
        <v>48</v>
      </c>
      <c r="E65" s="210">
        <v>0.69565217391304346</v>
      </c>
      <c r="F65" s="211"/>
      <c r="G65" s="212">
        <v>4.489583333333333</v>
      </c>
      <c r="H65" s="212">
        <v>0.749927658548181</v>
      </c>
      <c r="I65" s="202">
        <v>862</v>
      </c>
      <c r="J65" s="202">
        <v>1239.0741366459629</v>
      </c>
      <c r="K65" s="204">
        <v>7.5275409811312885E-4</v>
      </c>
    </row>
    <row r="66" spans="1:11" ht="14.45" customHeight="1" x14ac:dyDescent="0.25">
      <c r="A66" s="205" t="s">
        <v>346</v>
      </c>
      <c r="B66" s="119" t="s">
        <v>201</v>
      </c>
      <c r="C66" s="202">
        <v>84</v>
      </c>
      <c r="D66" s="202">
        <v>74</v>
      </c>
      <c r="E66" s="210">
        <v>0.88095238095238093</v>
      </c>
      <c r="F66" s="211"/>
      <c r="G66" s="212">
        <v>4.3108108108108105</v>
      </c>
      <c r="H66" s="212">
        <v>1.002371184359607</v>
      </c>
      <c r="I66" s="202">
        <v>1276</v>
      </c>
      <c r="J66" s="202">
        <v>1448.4324324324323</v>
      </c>
      <c r="K66" s="204">
        <v>8.7994206085588976E-4</v>
      </c>
    </row>
    <row r="67" spans="1:11" ht="14.45" customHeight="1" x14ac:dyDescent="0.25">
      <c r="A67" s="205" t="s">
        <v>351</v>
      </c>
      <c r="B67" s="119" t="s">
        <v>44</v>
      </c>
      <c r="C67" s="202">
        <v>1577</v>
      </c>
      <c r="D67" s="202">
        <v>917</v>
      </c>
      <c r="E67" s="210">
        <v>0.58148383005707038</v>
      </c>
      <c r="F67" s="211"/>
      <c r="G67" s="212">
        <v>4.1292257360959654</v>
      </c>
      <c r="H67" s="212">
        <v>1.0790392907206368</v>
      </c>
      <c r="I67" s="202">
        <v>15146</v>
      </c>
      <c r="J67" s="202">
        <v>25299.036513452305</v>
      </c>
      <c r="K67" s="204">
        <v>1.5369502800990413E-2</v>
      </c>
    </row>
    <row r="68" spans="1:11" ht="14.45" customHeight="1" x14ac:dyDescent="0.25">
      <c r="A68" s="205" t="s">
        <v>283</v>
      </c>
      <c r="B68" s="119" t="s">
        <v>102</v>
      </c>
      <c r="C68" s="202">
        <v>672</v>
      </c>
      <c r="D68" s="202">
        <v>473</v>
      </c>
      <c r="E68" s="210">
        <v>0.70386904761904767</v>
      </c>
      <c r="F68" s="211"/>
      <c r="G68" s="212">
        <v>4.4238900634249472</v>
      </c>
      <c r="H68" s="212">
        <v>0.88565027564323029</v>
      </c>
      <c r="I68" s="202">
        <v>8370</v>
      </c>
      <c r="J68" s="202">
        <v>11891.416490486259</v>
      </c>
      <c r="K68" s="204">
        <v>7.224194445550924E-3</v>
      </c>
    </row>
    <row r="69" spans="1:11" ht="14.45" customHeight="1" x14ac:dyDescent="0.25">
      <c r="A69" s="205" t="s">
        <v>276</v>
      </c>
      <c r="B69" s="119" t="s">
        <v>108</v>
      </c>
      <c r="C69" s="202">
        <v>46</v>
      </c>
      <c r="D69" s="202">
        <v>24</v>
      </c>
      <c r="E69" s="210">
        <v>0.52173913043478259</v>
      </c>
      <c r="F69" s="211"/>
      <c r="G69" s="212">
        <v>4.145833333333333</v>
      </c>
      <c r="H69" s="212">
        <v>0.86577478146584119</v>
      </c>
      <c r="I69" s="202">
        <v>398</v>
      </c>
      <c r="J69" s="202">
        <v>713.30499378881984</v>
      </c>
      <c r="K69" s="204">
        <v>4.3334231697591581E-4</v>
      </c>
    </row>
    <row r="70" spans="1:11" ht="14.45" customHeight="1" x14ac:dyDescent="0.25">
      <c r="A70" s="205" t="s">
        <v>382</v>
      </c>
      <c r="B70" s="119" t="s">
        <v>198</v>
      </c>
      <c r="C70" s="202">
        <v>60</v>
      </c>
      <c r="D70" s="202">
        <v>56</v>
      </c>
      <c r="E70" s="210">
        <v>0.93333333333333335</v>
      </c>
      <c r="F70" s="211"/>
      <c r="G70" s="212">
        <v>4.6071428571428568</v>
      </c>
      <c r="H70" s="212">
        <v>0.69252569391662178</v>
      </c>
      <c r="I70" s="202">
        <v>1032</v>
      </c>
      <c r="J70" s="202">
        <v>1105.7142857142858</v>
      </c>
      <c r="K70" s="204">
        <v>6.7173620633119489E-4</v>
      </c>
    </row>
    <row r="71" spans="1:11" ht="14.45" customHeight="1" x14ac:dyDescent="0.25">
      <c r="A71" s="205" t="s">
        <v>254</v>
      </c>
      <c r="B71" s="119" t="s">
        <v>125</v>
      </c>
      <c r="C71" s="202">
        <v>4851</v>
      </c>
      <c r="D71" s="202">
        <v>3438</v>
      </c>
      <c r="E71" s="210">
        <v>0.70871985157699446</v>
      </c>
      <c r="F71" s="211"/>
      <c r="G71" s="212">
        <v>4.1873364350101774</v>
      </c>
      <c r="H71" s="212">
        <v>1.0577341545270278</v>
      </c>
      <c r="I71" s="202">
        <v>57584.250654259959</v>
      </c>
      <c r="J71" s="202">
        <v>81251.076184937483</v>
      </c>
      <c r="K71" s="204">
        <v>4.9361114694777462E-2</v>
      </c>
    </row>
    <row r="72" spans="1:11" ht="14.45" customHeight="1" x14ac:dyDescent="0.25">
      <c r="A72" s="205" t="s">
        <v>296</v>
      </c>
      <c r="B72" s="119" t="s">
        <v>96</v>
      </c>
      <c r="C72" s="202">
        <v>1887</v>
      </c>
      <c r="D72" s="202">
        <v>1307</v>
      </c>
      <c r="E72" s="210">
        <v>0.69263381028086912</v>
      </c>
      <c r="F72" s="211"/>
      <c r="G72" s="212">
        <v>4.2048584544758993</v>
      </c>
      <c r="H72" s="212">
        <v>0.97693333276103378</v>
      </c>
      <c r="I72" s="202">
        <v>21983</v>
      </c>
      <c r="J72" s="202">
        <v>31734.624849420848</v>
      </c>
      <c r="K72" s="204">
        <v>1.9279208726079505E-2</v>
      </c>
    </row>
    <row r="73" spans="1:11" ht="14.45" customHeight="1" x14ac:dyDescent="0.25">
      <c r="A73" s="205" t="s">
        <v>344</v>
      </c>
      <c r="B73" s="119" t="s">
        <v>52</v>
      </c>
      <c r="C73" s="202">
        <v>31</v>
      </c>
      <c r="D73" s="202">
        <v>22</v>
      </c>
      <c r="E73" s="210">
        <v>0.70967741935483875</v>
      </c>
      <c r="F73" s="211"/>
      <c r="G73" s="212">
        <v>4.5434782608695654</v>
      </c>
      <c r="H73" s="212">
        <v>0.71342778614877878</v>
      </c>
      <c r="I73" s="202">
        <v>399.82608695652175</v>
      </c>
      <c r="J73" s="202">
        <v>563.39130434782612</v>
      </c>
      <c r="K73" s="204">
        <v>3.4226774705919201E-4</v>
      </c>
    </row>
    <row r="74" spans="1:11" ht="14.45" customHeight="1" x14ac:dyDescent="0.25">
      <c r="A74" s="205" t="s">
        <v>318</v>
      </c>
      <c r="B74" s="119" t="s">
        <v>60</v>
      </c>
      <c r="C74" s="202">
        <v>4733</v>
      </c>
      <c r="D74" s="202">
        <v>1551</v>
      </c>
      <c r="E74" s="210">
        <v>0.32769913374181281</v>
      </c>
      <c r="F74" s="211"/>
      <c r="G74" s="212">
        <v>4.2684243964421853</v>
      </c>
      <c r="H74" s="212">
        <v>1.0063618133803727</v>
      </c>
      <c r="I74" s="202">
        <v>26481.304955527317</v>
      </c>
      <c r="J74" s="202">
        <v>57942.821710917007</v>
      </c>
      <c r="K74" s="204">
        <v>3.5201038589342801E-2</v>
      </c>
    </row>
    <row r="75" spans="1:11" ht="14.45" customHeight="1" x14ac:dyDescent="0.25">
      <c r="A75" s="205" t="s">
        <v>345</v>
      </c>
      <c r="B75" s="119" t="s">
        <v>51</v>
      </c>
      <c r="C75" s="202">
        <v>65</v>
      </c>
      <c r="D75" s="202">
        <v>44</v>
      </c>
      <c r="E75" s="210">
        <v>0.67692307692307696</v>
      </c>
      <c r="F75" s="211"/>
      <c r="G75" s="212">
        <v>4.5965909090909092</v>
      </c>
      <c r="H75" s="212">
        <v>0.64999106001480589</v>
      </c>
      <c r="I75" s="202">
        <v>809</v>
      </c>
      <c r="J75" s="202">
        <v>1193.7995164835165</v>
      </c>
      <c r="K75" s="204">
        <v>7.2524916127371635E-4</v>
      </c>
    </row>
    <row r="76" spans="1:11" ht="14.45" customHeight="1" x14ac:dyDescent="0.25">
      <c r="A76" s="205" t="s">
        <v>221</v>
      </c>
      <c r="B76" s="119" t="s">
        <v>142</v>
      </c>
      <c r="C76" s="202">
        <v>1007</v>
      </c>
      <c r="D76" s="202">
        <v>364</v>
      </c>
      <c r="E76" s="210">
        <v>0.36146971201588879</v>
      </c>
      <c r="F76" s="211"/>
      <c r="G76" s="212">
        <v>4.3486301369863014</v>
      </c>
      <c r="H76" s="212">
        <v>0.92141465844124137</v>
      </c>
      <c r="I76" s="202">
        <v>6331.6054794520551</v>
      </c>
      <c r="J76" s="202">
        <v>13417.768746707297</v>
      </c>
      <c r="K76" s="204">
        <v>8.1514738407489681E-3</v>
      </c>
    </row>
    <row r="77" spans="1:11" ht="14.45" customHeight="1" x14ac:dyDescent="0.25">
      <c r="A77" s="205" t="s">
        <v>285</v>
      </c>
      <c r="B77" s="119" t="s">
        <v>98</v>
      </c>
      <c r="C77" s="202">
        <v>26</v>
      </c>
      <c r="D77" s="202">
        <v>26</v>
      </c>
      <c r="E77" s="210">
        <v>1</v>
      </c>
      <c r="F77" s="211"/>
      <c r="G77" s="212">
        <v>4.5961538461538458</v>
      </c>
      <c r="H77" s="212">
        <v>0.62817242196389167</v>
      </c>
      <c r="I77" s="202">
        <v>478</v>
      </c>
      <c r="J77" s="202">
        <v>477.99999999999994</v>
      </c>
      <c r="K77" s="204">
        <v>2.9039138842172835E-4</v>
      </c>
    </row>
    <row r="78" spans="1:11" ht="14.45" customHeight="1" x14ac:dyDescent="0.25">
      <c r="A78" s="205" t="s">
        <v>347</v>
      </c>
      <c r="B78" s="119" t="s">
        <v>50</v>
      </c>
      <c r="C78" s="202">
        <v>1703</v>
      </c>
      <c r="D78" s="202">
        <v>1058</v>
      </c>
      <c r="E78" s="210">
        <v>0.62125660598943044</v>
      </c>
      <c r="F78" s="211"/>
      <c r="G78" s="212">
        <v>4.2424385633270321</v>
      </c>
      <c r="H78" s="212">
        <v>0.99017599231295694</v>
      </c>
      <c r="I78" s="202">
        <v>17954</v>
      </c>
      <c r="J78" s="202">
        <v>28532.639576545593</v>
      </c>
      <c r="K78" s="204">
        <v>1.7333959878597975E-2</v>
      </c>
    </row>
    <row r="79" spans="1:11" ht="14.45" customHeight="1" x14ac:dyDescent="0.25">
      <c r="A79" s="205" t="s">
        <v>336</v>
      </c>
      <c r="B79" s="119" t="s">
        <v>63</v>
      </c>
      <c r="C79" s="202">
        <v>1145</v>
      </c>
      <c r="D79" s="202">
        <v>232</v>
      </c>
      <c r="E79" s="210">
        <v>0.20262008733624454</v>
      </c>
      <c r="F79" s="211"/>
      <c r="G79" s="212">
        <v>4.3674568965517242</v>
      </c>
      <c r="H79" s="212">
        <v>0.9421277723968231</v>
      </c>
      <c r="I79" s="202">
        <v>4053</v>
      </c>
      <c r="J79" s="202">
        <v>9902.3968034934514</v>
      </c>
      <c r="K79" s="204">
        <v>6.0158384026555408E-3</v>
      </c>
    </row>
    <row r="80" spans="1:11" ht="14.45" customHeight="1" x14ac:dyDescent="0.25">
      <c r="A80" s="205" t="s">
        <v>280</v>
      </c>
      <c r="B80" s="119" t="s">
        <v>105</v>
      </c>
      <c r="C80" s="202">
        <v>33</v>
      </c>
      <c r="D80" s="202">
        <v>32</v>
      </c>
      <c r="E80" s="210">
        <v>0.96969696969696972</v>
      </c>
      <c r="F80" s="211"/>
      <c r="G80" s="212">
        <v>3.7897727272727271</v>
      </c>
      <c r="H80" s="212">
        <v>1.0929047796757125</v>
      </c>
      <c r="I80" s="202">
        <v>485.09090909090912</v>
      </c>
      <c r="J80" s="202">
        <v>500.25</v>
      </c>
      <c r="K80" s="204">
        <v>3.0390856079073143E-4</v>
      </c>
    </row>
    <row r="81" spans="1:11" ht="14.45" customHeight="1" x14ac:dyDescent="0.25">
      <c r="A81" s="205" t="s">
        <v>307</v>
      </c>
      <c r="B81" s="119" t="s">
        <v>83</v>
      </c>
      <c r="C81" s="202">
        <v>113</v>
      </c>
      <c r="D81" s="202">
        <v>61</v>
      </c>
      <c r="E81" s="210">
        <v>0.53982300884955747</v>
      </c>
      <c r="F81" s="211"/>
      <c r="G81" s="212">
        <v>4.3155737704918034</v>
      </c>
      <c r="H81" s="212">
        <v>1.0216926241920348</v>
      </c>
      <c r="I81" s="202">
        <v>1053</v>
      </c>
      <c r="J81" s="202">
        <v>1848.365112515803</v>
      </c>
      <c r="K81" s="204">
        <v>1.1229065090664189E-3</v>
      </c>
    </row>
    <row r="82" spans="1:11" ht="14.45" customHeight="1" x14ac:dyDescent="0.25">
      <c r="A82" s="205" t="s">
        <v>263</v>
      </c>
      <c r="B82" s="119" t="s">
        <v>148</v>
      </c>
      <c r="C82" s="202">
        <v>37</v>
      </c>
      <c r="D82" s="202">
        <v>35</v>
      </c>
      <c r="E82" s="210">
        <v>0.94594594594594594</v>
      </c>
      <c r="F82" s="211"/>
      <c r="G82" s="212">
        <v>4.3877551020408161</v>
      </c>
      <c r="H82" s="212">
        <v>0.89934957291962192</v>
      </c>
      <c r="I82" s="202">
        <v>614.28571428571433</v>
      </c>
      <c r="J82" s="202">
        <v>649.38775510204073</v>
      </c>
      <c r="K82" s="204">
        <v>3.9451174022625719E-4</v>
      </c>
    </row>
    <row r="83" spans="1:11" ht="14.45" customHeight="1" x14ac:dyDescent="0.25">
      <c r="A83" s="205" t="s">
        <v>352</v>
      </c>
      <c r="B83" s="119" t="s">
        <v>43</v>
      </c>
      <c r="C83" s="202">
        <v>38</v>
      </c>
      <c r="D83" s="202">
        <v>26</v>
      </c>
      <c r="E83" s="210">
        <v>0.68421052631578949</v>
      </c>
      <c r="F83" s="211"/>
      <c r="G83" s="212">
        <v>4.4326923076923075</v>
      </c>
      <c r="H83" s="212">
        <v>0.95840836684220287</v>
      </c>
      <c r="I83" s="202">
        <v>461</v>
      </c>
      <c r="J83" s="202">
        <v>673.4204812030074</v>
      </c>
      <c r="K83" s="204">
        <v>4.0911194252755181E-4</v>
      </c>
    </row>
    <row r="84" spans="1:11" ht="14.45" customHeight="1" x14ac:dyDescent="0.25">
      <c r="A84" s="205" t="s">
        <v>243</v>
      </c>
      <c r="B84" s="119" t="s">
        <v>131</v>
      </c>
      <c r="C84" s="202">
        <v>212</v>
      </c>
      <c r="D84" s="202">
        <v>135</v>
      </c>
      <c r="E84" s="210">
        <v>0.6367924528301887</v>
      </c>
      <c r="F84" s="211"/>
      <c r="G84" s="212">
        <v>4.3388888888888886</v>
      </c>
      <c r="H84" s="212">
        <v>0.96127166289064581</v>
      </c>
      <c r="I84" s="202">
        <v>2343</v>
      </c>
      <c r="J84" s="202">
        <v>3649.2572345013477</v>
      </c>
      <c r="K84" s="204">
        <v>2.2169725419139818E-3</v>
      </c>
    </row>
    <row r="85" spans="1:11" ht="14.45" customHeight="1" x14ac:dyDescent="0.25">
      <c r="A85" s="205" t="s">
        <v>286</v>
      </c>
      <c r="B85" s="119" t="s">
        <v>97</v>
      </c>
      <c r="C85" s="202">
        <v>116</v>
      </c>
      <c r="D85" s="202">
        <v>64</v>
      </c>
      <c r="E85" s="210">
        <v>0.55172413793103448</v>
      </c>
      <c r="F85" s="211"/>
      <c r="G85" s="212">
        <v>4.25</v>
      </c>
      <c r="H85" s="212">
        <v>1.0359605618527599</v>
      </c>
      <c r="I85" s="202">
        <v>1088</v>
      </c>
      <c r="J85" s="202">
        <v>1883.3869556650245</v>
      </c>
      <c r="K85" s="204">
        <v>1.144182746842968E-3</v>
      </c>
    </row>
    <row r="86" spans="1:11" ht="14.45" customHeight="1" x14ac:dyDescent="0.25">
      <c r="A86" s="205" t="s">
        <v>294</v>
      </c>
      <c r="B86" s="119" t="s">
        <v>90</v>
      </c>
      <c r="C86" s="202">
        <v>19</v>
      </c>
      <c r="D86" s="202">
        <v>17</v>
      </c>
      <c r="E86" s="210">
        <v>0.89473684210526316</v>
      </c>
      <c r="F86" s="211"/>
      <c r="G86" s="212">
        <v>4.4264705882352944</v>
      </c>
      <c r="H86" s="212">
        <v>0.94427339745168404</v>
      </c>
      <c r="I86" s="202">
        <v>301</v>
      </c>
      <c r="J86" s="202">
        <v>336.41176470588238</v>
      </c>
      <c r="K86" s="204">
        <v>2.0437464316808574E-4</v>
      </c>
    </row>
    <row r="87" spans="1:11" ht="14.45" customHeight="1" x14ac:dyDescent="0.25">
      <c r="A87" s="205" t="s">
        <v>378</v>
      </c>
      <c r="B87" s="119" t="s">
        <v>25</v>
      </c>
      <c r="C87" s="202">
        <v>4475</v>
      </c>
      <c r="D87" s="202">
        <v>1251</v>
      </c>
      <c r="E87" s="210">
        <v>0.27955307262569834</v>
      </c>
      <c r="F87" s="211"/>
      <c r="G87" s="212">
        <v>4.1091127098321341</v>
      </c>
      <c r="H87" s="212">
        <v>1.0844095798068702</v>
      </c>
      <c r="I87" s="202">
        <v>20562</v>
      </c>
      <c r="J87" s="202">
        <v>47010.55434445331</v>
      </c>
      <c r="K87" s="204">
        <v>2.8559540055566764E-2</v>
      </c>
    </row>
    <row r="88" spans="1:11" ht="14.45" customHeight="1" x14ac:dyDescent="0.25">
      <c r="A88" s="205" t="s">
        <v>342</v>
      </c>
      <c r="B88" s="119" t="s">
        <v>532</v>
      </c>
      <c r="C88" s="202">
        <v>502</v>
      </c>
      <c r="D88" s="202">
        <v>327</v>
      </c>
      <c r="E88" s="210">
        <v>0.65139442231075695</v>
      </c>
      <c r="F88" s="211"/>
      <c r="G88" s="212">
        <v>4.3501529051987768</v>
      </c>
      <c r="H88" s="212">
        <v>0.93995167478542474</v>
      </c>
      <c r="I88" s="202">
        <v>5690</v>
      </c>
      <c r="J88" s="202">
        <v>8692.7655321570855</v>
      </c>
      <c r="K88" s="204">
        <v>5.2809712387189142E-3</v>
      </c>
    </row>
    <row r="89" spans="1:11" ht="14.45" customHeight="1" x14ac:dyDescent="0.25">
      <c r="A89" s="205" t="s">
        <v>331</v>
      </c>
      <c r="B89" s="119" t="s">
        <v>66</v>
      </c>
      <c r="C89" s="202">
        <v>70</v>
      </c>
      <c r="D89" s="202">
        <v>49</v>
      </c>
      <c r="E89" s="210">
        <v>0.7</v>
      </c>
      <c r="F89" s="211"/>
      <c r="G89" s="212">
        <v>4.4291666666666663</v>
      </c>
      <c r="H89" s="212">
        <v>0.82359940032896206</v>
      </c>
      <c r="I89" s="202">
        <v>868.11666666666667</v>
      </c>
      <c r="J89" s="202">
        <v>1240.1666666666665</v>
      </c>
      <c r="K89" s="204">
        <v>7.5341782470225965E-4</v>
      </c>
    </row>
    <row r="90" spans="1:11" ht="14.45" customHeight="1" x14ac:dyDescent="0.25">
      <c r="A90" s="205" t="s">
        <v>313</v>
      </c>
      <c r="B90" s="119" t="s">
        <v>79</v>
      </c>
      <c r="C90" s="202">
        <v>862</v>
      </c>
      <c r="D90" s="202">
        <v>557</v>
      </c>
      <c r="E90" s="210">
        <v>0.64617169373549888</v>
      </c>
      <c r="F90" s="211"/>
      <c r="G90" s="212">
        <v>4.150537634408602</v>
      </c>
      <c r="H90" s="212">
        <v>1.0488556989679214</v>
      </c>
      <c r="I90" s="202">
        <v>9247.3978494623661</v>
      </c>
      <c r="J90" s="202">
        <v>14226.022754099529</v>
      </c>
      <c r="K90" s="204">
        <v>8.6424989524729341E-3</v>
      </c>
    </row>
    <row r="91" spans="1:11" ht="14.45" customHeight="1" x14ac:dyDescent="0.25">
      <c r="A91" s="205" t="s">
        <v>260</v>
      </c>
      <c r="B91" s="119" t="s">
        <v>119</v>
      </c>
      <c r="C91" s="202">
        <v>259</v>
      </c>
      <c r="D91" s="202">
        <v>175</v>
      </c>
      <c r="E91" s="210">
        <v>0.67567567567567566</v>
      </c>
      <c r="F91" s="211"/>
      <c r="G91" s="212">
        <v>4.2371428571428575</v>
      </c>
      <c r="H91" s="212">
        <v>1.0369145754278357</v>
      </c>
      <c r="I91" s="202">
        <v>2966</v>
      </c>
      <c r="J91" s="202">
        <v>4384.3205868725881</v>
      </c>
      <c r="K91" s="204">
        <v>2.6635333525269833E-3</v>
      </c>
    </row>
    <row r="92" spans="1:11" ht="14.45" customHeight="1" x14ac:dyDescent="0.25">
      <c r="A92" s="205" t="s">
        <v>370</v>
      </c>
      <c r="B92" s="119" t="s">
        <v>146</v>
      </c>
      <c r="C92" s="202">
        <v>64</v>
      </c>
      <c r="D92" s="202">
        <v>52</v>
      </c>
      <c r="E92" s="210">
        <v>0.8125</v>
      </c>
      <c r="F92" s="211"/>
      <c r="G92" s="212">
        <v>4.0507246376811592</v>
      </c>
      <c r="H92" s="212">
        <v>1.1937182427257165</v>
      </c>
      <c r="I92" s="202">
        <v>842.55072463768113</v>
      </c>
      <c r="J92" s="202">
        <v>1036.9855072463768</v>
      </c>
      <c r="K92" s="204">
        <v>6.2998255485875656E-4</v>
      </c>
    </row>
    <row r="93" spans="1:11" ht="14.45" customHeight="1" x14ac:dyDescent="0.25">
      <c r="A93" s="205" t="s">
        <v>304</v>
      </c>
      <c r="B93" s="119" t="s">
        <v>165</v>
      </c>
      <c r="C93" s="202">
        <v>7</v>
      </c>
      <c r="D93" s="202">
        <v>6</v>
      </c>
      <c r="E93" s="210">
        <v>0.8571428571428571</v>
      </c>
      <c r="F93" s="211"/>
      <c r="G93" s="212">
        <v>4.291666666666667</v>
      </c>
      <c r="H93" s="212">
        <v>1.1718634258687697</v>
      </c>
      <c r="I93" s="202">
        <v>103</v>
      </c>
      <c r="J93" s="202">
        <v>120.16666666666667</v>
      </c>
      <c r="K93" s="204">
        <v>7.3002856015364783E-5</v>
      </c>
    </row>
    <row r="94" spans="1:11" ht="14.45" customHeight="1" x14ac:dyDescent="0.25">
      <c r="A94" s="205" t="s">
        <v>338</v>
      </c>
      <c r="B94" s="119" t="s">
        <v>61</v>
      </c>
      <c r="C94" s="202">
        <v>219</v>
      </c>
      <c r="D94" s="202">
        <v>53</v>
      </c>
      <c r="E94" s="210">
        <v>0.24200913242009131</v>
      </c>
      <c r="F94" s="211"/>
      <c r="G94" s="212">
        <v>4.3262711864406782</v>
      </c>
      <c r="H94" s="212">
        <v>0.9385282353194333</v>
      </c>
      <c r="I94" s="202">
        <v>917.16949152542372</v>
      </c>
      <c r="J94" s="202">
        <v>2167.1548430793728</v>
      </c>
      <c r="K94" s="204">
        <v>1.3165755309763431E-3</v>
      </c>
    </row>
    <row r="95" spans="1:11" ht="14.45" customHeight="1" x14ac:dyDescent="0.25">
      <c r="A95" s="205" t="s">
        <v>299</v>
      </c>
      <c r="B95" s="119" t="s">
        <v>87</v>
      </c>
      <c r="C95" s="202">
        <v>671</v>
      </c>
      <c r="D95" s="202">
        <v>469</v>
      </c>
      <c r="E95" s="210">
        <v>0.69895678092399405</v>
      </c>
      <c r="F95" s="211"/>
      <c r="G95" s="212">
        <v>4.0799573560767595</v>
      </c>
      <c r="H95" s="212">
        <v>1.029419691978285</v>
      </c>
      <c r="I95" s="202">
        <v>7654</v>
      </c>
      <c r="J95" s="202">
        <v>10950.574703853525</v>
      </c>
      <c r="K95" s="204">
        <v>6.6526204859160719E-3</v>
      </c>
    </row>
    <row r="96" spans="1:11" ht="14.45" customHeight="1" x14ac:dyDescent="0.25">
      <c r="A96" s="205" t="s">
        <v>291</v>
      </c>
      <c r="B96" s="119" t="s">
        <v>93</v>
      </c>
      <c r="C96" s="202">
        <v>638</v>
      </c>
      <c r="D96" s="202">
        <v>369</v>
      </c>
      <c r="E96" s="210">
        <v>0.57836990595611282</v>
      </c>
      <c r="F96" s="211"/>
      <c r="G96" s="212">
        <v>4.2679521276595747</v>
      </c>
      <c r="H96" s="212">
        <v>1.0368910968102714</v>
      </c>
      <c r="I96" s="202">
        <v>6299.4973404255325</v>
      </c>
      <c r="J96" s="202">
        <v>10562.347160941774</v>
      </c>
      <c r="K96" s="204">
        <v>6.4167670649752781E-3</v>
      </c>
    </row>
    <row r="97" spans="1:11" ht="14.45" customHeight="1" x14ac:dyDescent="0.25">
      <c r="A97" s="205" t="s">
        <v>284</v>
      </c>
      <c r="B97" s="119" t="s">
        <v>99</v>
      </c>
      <c r="C97" s="202">
        <v>224</v>
      </c>
      <c r="D97" s="202">
        <v>66</v>
      </c>
      <c r="E97" s="210">
        <v>0.29464285714285715</v>
      </c>
      <c r="F97" s="211"/>
      <c r="G97" s="212">
        <v>4.1363636363636367</v>
      </c>
      <c r="H97" s="212">
        <v>1.1499191491521377</v>
      </c>
      <c r="I97" s="202">
        <v>1092</v>
      </c>
      <c r="J97" s="202">
        <v>2463.0059999999999</v>
      </c>
      <c r="K97" s="204">
        <v>1.4963090628264592E-3</v>
      </c>
    </row>
    <row r="98" spans="1:11" ht="14.45" customHeight="1" x14ac:dyDescent="0.25">
      <c r="A98" s="205" t="s">
        <v>322</v>
      </c>
      <c r="B98" s="119" t="s">
        <v>72</v>
      </c>
      <c r="C98" s="202">
        <v>126</v>
      </c>
      <c r="D98" s="202">
        <v>63</v>
      </c>
      <c r="E98" s="210">
        <v>0.5</v>
      </c>
      <c r="F98" s="211"/>
      <c r="G98" s="212">
        <v>4.5357142857142856</v>
      </c>
      <c r="H98" s="212">
        <v>0.74716015640539135</v>
      </c>
      <c r="I98" s="202">
        <v>1143</v>
      </c>
      <c r="J98" s="202">
        <v>2099.2011428571427</v>
      </c>
      <c r="K98" s="204">
        <v>1.2752927498969973E-3</v>
      </c>
    </row>
    <row r="99" spans="1:11" ht="14.45" customHeight="1" x14ac:dyDescent="0.25">
      <c r="A99" s="205" t="s">
        <v>308</v>
      </c>
      <c r="B99" s="119" t="s">
        <v>149</v>
      </c>
      <c r="C99" s="202">
        <v>33</v>
      </c>
      <c r="D99" s="202">
        <v>26</v>
      </c>
      <c r="E99" s="210">
        <v>0.78787878787878785</v>
      </c>
      <c r="F99" s="211"/>
      <c r="G99" s="212">
        <v>3.9615384615384617</v>
      </c>
      <c r="H99" s="212">
        <v>1.2083290824926922</v>
      </c>
      <c r="I99" s="202">
        <v>412</v>
      </c>
      <c r="J99" s="202">
        <v>522.92307692307691</v>
      </c>
      <c r="K99" s="204">
        <v>3.1768275804488409E-4</v>
      </c>
    </row>
    <row r="100" spans="1:11" ht="14.45" customHeight="1" x14ac:dyDescent="0.25">
      <c r="A100" s="205" t="s">
        <v>293</v>
      </c>
      <c r="B100" s="119" t="s">
        <v>91</v>
      </c>
      <c r="C100" s="202">
        <v>64</v>
      </c>
      <c r="D100" s="202">
        <v>50</v>
      </c>
      <c r="E100" s="210">
        <v>0.78125</v>
      </c>
      <c r="F100" s="211"/>
      <c r="G100" s="212">
        <v>4.5650000000000004</v>
      </c>
      <c r="H100" s="212">
        <v>0.75218016458824455</v>
      </c>
      <c r="I100" s="202">
        <v>913</v>
      </c>
      <c r="J100" s="202">
        <v>1168.6400000000001</v>
      </c>
      <c r="K100" s="204">
        <v>7.0996441875558305E-4</v>
      </c>
    </row>
    <row r="101" spans="1:11" ht="14.45" customHeight="1" x14ac:dyDescent="0.25">
      <c r="A101" s="205" t="s">
        <v>288</v>
      </c>
      <c r="B101" s="119" t="s">
        <v>100</v>
      </c>
      <c r="C101" s="202">
        <v>69</v>
      </c>
      <c r="D101" s="202">
        <v>57</v>
      </c>
      <c r="E101" s="210">
        <v>0.82608695652173914</v>
      </c>
      <c r="F101" s="211"/>
      <c r="G101" s="212">
        <v>4.6096491228070171</v>
      </c>
      <c r="H101" s="212">
        <v>0.68907124096918404</v>
      </c>
      <c r="I101" s="202">
        <v>1051</v>
      </c>
      <c r="J101" s="202">
        <v>1272.2631578947369</v>
      </c>
      <c r="K101" s="204">
        <v>7.7291687208967642E-4</v>
      </c>
    </row>
    <row r="102" spans="1:11" ht="14.45" customHeight="1" x14ac:dyDescent="0.25">
      <c r="A102" s="205" t="s">
        <v>241</v>
      </c>
      <c r="B102" s="119" t="s">
        <v>134</v>
      </c>
      <c r="C102" s="202">
        <v>128</v>
      </c>
      <c r="D102" s="202">
        <v>120</v>
      </c>
      <c r="E102" s="210">
        <v>0.9375</v>
      </c>
      <c r="F102" s="211"/>
      <c r="G102" s="212">
        <v>4.5354166666666664</v>
      </c>
      <c r="H102" s="212">
        <v>0.80025766249932939</v>
      </c>
      <c r="I102" s="202">
        <v>2177</v>
      </c>
      <c r="J102" s="202">
        <v>2322.1333333333332</v>
      </c>
      <c r="K102" s="204">
        <v>1.4107270350774955E-3</v>
      </c>
    </row>
    <row r="103" spans="1:11" ht="14.45" customHeight="1" x14ac:dyDescent="0.25">
      <c r="A103" s="205" t="s">
        <v>363</v>
      </c>
      <c r="B103" s="119" t="s">
        <v>36</v>
      </c>
      <c r="C103" s="202">
        <v>206</v>
      </c>
      <c r="D103" s="202">
        <v>82</v>
      </c>
      <c r="E103" s="210">
        <v>0.39805825242718446</v>
      </c>
      <c r="F103" s="211"/>
      <c r="G103" s="212">
        <v>3.594736842105263</v>
      </c>
      <c r="H103" s="212">
        <v>1.3412381099529007</v>
      </c>
      <c r="I103" s="202">
        <v>1179.0736842105264</v>
      </c>
      <c r="J103" s="202">
        <v>2410.6545776480029</v>
      </c>
      <c r="K103" s="204">
        <v>1.4645048740761482E-3</v>
      </c>
    </row>
    <row r="104" spans="1:11" ht="14.45" customHeight="1" x14ac:dyDescent="0.25">
      <c r="A104" s="205" t="s">
        <v>353</v>
      </c>
      <c r="B104" s="119" t="s">
        <v>48</v>
      </c>
      <c r="C104" s="202">
        <v>68</v>
      </c>
      <c r="D104" s="202">
        <v>62</v>
      </c>
      <c r="E104" s="210">
        <v>0.91176470588235292</v>
      </c>
      <c r="F104" s="211"/>
      <c r="G104" s="212">
        <v>4.536290322580645</v>
      </c>
      <c r="H104" s="212">
        <v>0.88370870596770978</v>
      </c>
      <c r="I104" s="202">
        <v>1125</v>
      </c>
      <c r="J104" s="202">
        <v>1233.8709677419354</v>
      </c>
      <c r="K104" s="204">
        <v>7.4959310346410513E-4</v>
      </c>
    </row>
    <row r="105" spans="1:11" ht="14.45" customHeight="1" x14ac:dyDescent="0.25">
      <c r="A105" s="205" t="s">
        <v>275</v>
      </c>
      <c r="B105" s="119" t="s">
        <v>109</v>
      </c>
      <c r="C105" s="202">
        <v>1857</v>
      </c>
      <c r="D105" s="202">
        <v>1392</v>
      </c>
      <c r="E105" s="210">
        <v>0.74959612277867527</v>
      </c>
      <c r="F105" s="211"/>
      <c r="G105" s="212">
        <v>4.213541666666667</v>
      </c>
      <c r="H105" s="212">
        <v>1.0152482354506824</v>
      </c>
      <c r="I105" s="202">
        <v>23461</v>
      </c>
      <c r="J105" s="202">
        <v>31298.1875</v>
      </c>
      <c r="K105" s="204">
        <v>1.901406720336524E-2</v>
      </c>
    </row>
    <row r="106" spans="1:11" ht="14.45" customHeight="1" x14ac:dyDescent="0.25">
      <c r="A106" s="205" t="s">
        <v>258</v>
      </c>
      <c r="B106" s="119" t="s">
        <v>121</v>
      </c>
      <c r="C106" s="202">
        <v>166</v>
      </c>
      <c r="D106" s="202">
        <v>146</v>
      </c>
      <c r="E106" s="210">
        <v>0.87951807228915657</v>
      </c>
      <c r="F106" s="211"/>
      <c r="G106" s="212">
        <v>3.9777397260273974</v>
      </c>
      <c r="H106" s="212">
        <v>1.1767660994460218</v>
      </c>
      <c r="I106" s="202">
        <v>2323</v>
      </c>
      <c r="J106" s="202">
        <v>2641.2191780821922</v>
      </c>
      <c r="K106" s="204">
        <v>1.604575950312519E-3</v>
      </c>
    </row>
    <row r="107" spans="1:11" ht="14.45" customHeight="1" x14ac:dyDescent="0.25">
      <c r="A107" s="205" t="s">
        <v>256</v>
      </c>
      <c r="B107" s="119" t="s">
        <v>123</v>
      </c>
      <c r="C107" s="202">
        <v>909</v>
      </c>
      <c r="D107" s="202">
        <v>476</v>
      </c>
      <c r="E107" s="210">
        <v>0.5236523652365237</v>
      </c>
      <c r="F107" s="211"/>
      <c r="G107" s="212">
        <v>4.2647058823529411</v>
      </c>
      <c r="H107" s="212">
        <v>0.93051338818721319</v>
      </c>
      <c r="I107" s="202">
        <v>8120</v>
      </c>
      <c r="J107" s="202">
        <v>14521.163300330032</v>
      </c>
      <c r="K107" s="204">
        <v>8.8218007788315612E-3</v>
      </c>
    </row>
    <row r="108" spans="1:11" ht="14.45" customHeight="1" x14ac:dyDescent="0.25">
      <c r="A108" s="205" t="s">
        <v>297</v>
      </c>
      <c r="B108" s="119" t="s">
        <v>530</v>
      </c>
      <c r="C108" s="202">
        <v>4237</v>
      </c>
      <c r="D108" s="202">
        <v>2974</v>
      </c>
      <c r="E108" s="210">
        <v>0.70191172999763984</v>
      </c>
      <c r="F108" s="211"/>
      <c r="G108" s="212">
        <v>4.3136348352387355</v>
      </c>
      <c r="H108" s="212">
        <v>0.95752200419143507</v>
      </c>
      <c r="I108" s="202">
        <v>51315</v>
      </c>
      <c r="J108" s="202">
        <v>73107.483187626087</v>
      </c>
      <c r="K108" s="204">
        <v>4.4413773110612773E-2</v>
      </c>
    </row>
    <row r="109" spans="1:11" ht="14.45" customHeight="1" x14ac:dyDescent="0.25">
      <c r="A109" s="205" t="s">
        <v>329</v>
      </c>
      <c r="B109" s="119" t="s">
        <v>68</v>
      </c>
      <c r="C109" s="202">
        <v>2794</v>
      </c>
      <c r="D109" s="202">
        <v>1799</v>
      </c>
      <c r="E109" s="210">
        <v>0.64387974230493916</v>
      </c>
      <c r="F109" s="211"/>
      <c r="G109" s="212">
        <v>4.1194444444444445</v>
      </c>
      <c r="H109" s="212">
        <v>1.0624446245555164</v>
      </c>
      <c r="I109" s="202">
        <v>29643.522222222222</v>
      </c>
      <c r="J109" s="202">
        <v>45741.637185333653</v>
      </c>
      <c r="K109" s="204">
        <v>2.7788655922451885E-2</v>
      </c>
    </row>
    <row r="110" spans="1:11" ht="14.45" customHeight="1" x14ac:dyDescent="0.25">
      <c r="A110" s="205" t="s">
        <v>268</v>
      </c>
      <c r="B110" s="119" t="s">
        <v>114</v>
      </c>
      <c r="C110" s="202">
        <v>3084</v>
      </c>
      <c r="D110" s="202">
        <v>1793</v>
      </c>
      <c r="E110" s="210">
        <v>0.58138780804150458</v>
      </c>
      <c r="F110" s="211"/>
      <c r="G110" s="212">
        <v>4.2768493150684934</v>
      </c>
      <c r="H110" s="212">
        <v>0.98157599962889974</v>
      </c>
      <c r="I110" s="202">
        <v>30673.563287671233</v>
      </c>
      <c r="J110" s="202">
        <v>51241.423621770387</v>
      </c>
      <c r="K110" s="204">
        <v>3.1129849686677518E-2</v>
      </c>
    </row>
    <row r="111" spans="1:11" ht="14.45" customHeight="1" x14ac:dyDescent="0.25">
      <c r="A111" s="205" t="s">
        <v>248</v>
      </c>
      <c r="B111" s="119" t="s">
        <v>169</v>
      </c>
      <c r="C111" s="202">
        <v>0</v>
      </c>
      <c r="D111" s="202">
        <v>0</v>
      </c>
      <c r="E111" s="210"/>
      <c r="F111" s="211"/>
      <c r="G111" s="212"/>
      <c r="H111" s="212"/>
      <c r="I111" s="202">
        <v>0</v>
      </c>
      <c r="J111" s="202">
        <v>0</v>
      </c>
      <c r="K111" s="204">
        <v>0</v>
      </c>
    </row>
    <row r="112" spans="1:11" ht="14.45" customHeight="1" x14ac:dyDescent="0.25">
      <c r="A112" s="205" t="s">
        <v>377</v>
      </c>
      <c r="B112" s="119" t="s">
        <v>26</v>
      </c>
      <c r="C112" s="202">
        <v>1504</v>
      </c>
      <c r="D112" s="202">
        <v>1176</v>
      </c>
      <c r="E112" s="210">
        <v>0.78191489361702127</v>
      </c>
      <c r="F112" s="211"/>
      <c r="G112" s="212">
        <v>4.2093962585034017</v>
      </c>
      <c r="H112" s="212">
        <v>0.99153996704343872</v>
      </c>
      <c r="I112" s="202">
        <v>19801</v>
      </c>
      <c r="J112" s="202">
        <v>25323.727891156464</v>
      </c>
      <c r="K112" s="204">
        <v>1.538450314294346E-2</v>
      </c>
    </row>
    <row r="113" spans="1:11" ht="14.45" customHeight="1" x14ac:dyDescent="0.25">
      <c r="A113" s="205" t="s">
        <v>231</v>
      </c>
      <c r="B113" s="119" t="s">
        <v>139</v>
      </c>
      <c r="C113" s="202">
        <v>84</v>
      </c>
      <c r="D113" s="202">
        <v>66</v>
      </c>
      <c r="E113" s="210">
        <v>0.7857142857142857</v>
      </c>
      <c r="F113" s="211"/>
      <c r="G113" s="212">
        <v>4.4659090909090908</v>
      </c>
      <c r="H113" s="212">
        <v>0.7826072920397058</v>
      </c>
      <c r="I113" s="202">
        <v>1179</v>
      </c>
      <c r="J113" s="202">
        <v>1500.5454545454545</v>
      </c>
      <c r="K113" s="204">
        <v>9.1160141827482857E-4</v>
      </c>
    </row>
    <row r="114" spans="1:11" ht="14.45" customHeight="1" x14ac:dyDescent="0.25">
      <c r="A114" s="205" t="s">
        <v>368</v>
      </c>
      <c r="B114" s="119" t="s">
        <v>31</v>
      </c>
      <c r="C114" s="202">
        <v>102</v>
      </c>
      <c r="D114" s="202">
        <v>89</v>
      </c>
      <c r="E114" s="210">
        <v>0.87254901960784315</v>
      </c>
      <c r="F114" s="211"/>
      <c r="G114" s="212">
        <v>4.6264044943820224</v>
      </c>
      <c r="H114" s="212">
        <v>0.75198575648567267</v>
      </c>
      <c r="I114" s="202">
        <v>1647</v>
      </c>
      <c r="J114" s="202">
        <v>1887.5730337078651</v>
      </c>
      <c r="K114" s="204">
        <v>1.1467258452005039E-3</v>
      </c>
    </row>
    <row r="115" spans="1:11" ht="14.45" customHeight="1" x14ac:dyDescent="0.25">
      <c r="A115" s="205" t="s">
        <v>247</v>
      </c>
      <c r="B115" s="119" t="s">
        <v>129</v>
      </c>
      <c r="C115" s="202">
        <v>52</v>
      </c>
      <c r="D115" s="202">
        <v>47</v>
      </c>
      <c r="E115" s="210">
        <v>0.90384615384615385</v>
      </c>
      <c r="F115" s="211"/>
      <c r="G115" s="212">
        <v>4.3617021276595747</v>
      </c>
      <c r="H115" s="212">
        <v>0.9208121280162701</v>
      </c>
      <c r="I115" s="202">
        <v>820</v>
      </c>
      <c r="J115" s="202">
        <v>907.23404255319156</v>
      </c>
      <c r="K115" s="204">
        <v>5.5115680594242415E-4</v>
      </c>
    </row>
    <row r="116" spans="1:11" ht="14.45" customHeight="1" x14ac:dyDescent="0.25">
      <c r="A116" s="205" t="s">
        <v>354</v>
      </c>
      <c r="B116" s="119" t="s">
        <v>47</v>
      </c>
      <c r="C116" s="202">
        <v>184</v>
      </c>
      <c r="D116" s="202">
        <v>56</v>
      </c>
      <c r="E116" s="210">
        <v>0.30434782608695654</v>
      </c>
      <c r="F116" s="211"/>
      <c r="G116" s="212">
        <v>4.3482142857142856</v>
      </c>
      <c r="H116" s="212">
        <v>0.89352653478637623</v>
      </c>
      <c r="I116" s="202">
        <v>974</v>
      </c>
      <c r="J116" s="202">
        <v>2177.5736149068325</v>
      </c>
      <c r="K116" s="204">
        <v>1.3229050741073581E-3</v>
      </c>
    </row>
    <row r="117" spans="1:11" ht="14.45" customHeight="1" x14ac:dyDescent="0.25">
      <c r="A117" s="205" t="s">
        <v>350</v>
      </c>
      <c r="B117" s="119" t="s">
        <v>45</v>
      </c>
      <c r="C117" s="202">
        <v>173</v>
      </c>
      <c r="D117" s="202">
        <v>139</v>
      </c>
      <c r="E117" s="210">
        <v>0.80346820809248554</v>
      </c>
      <c r="F117" s="211"/>
      <c r="G117" s="212">
        <v>3.9550359712230216</v>
      </c>
      <c r="H117" s="212">
        <v>1.1488780101295815</v>
      </c>
      <c r="I117" s="202">
        <v>2199</v>
      </c>
      <c r="J117" s="202">
        <v>2736.8848920863311</v>
      </c>
      <c r="K117" s="204">
        <v>1.6626941501326402E-3</v>
      </c>
    </row>
    <row r="118" spans="1:11" ht="14.45" customHeight="1" x14ac:dyDescent="0.25">
      <c r="A118" s="205" t="s">
        <v>257</v>
      </c>
      <c r="B118" s="119" t="s">
        <v>122</v>
      </c>
      <c r="C118" s="202">
        <v>493</v>
      </c>
      <c r="D118" s="202">
        <v>378</v>
      </c>
      <c r="E118" s="210">
        <v>0.76673427991886411</v>
      </c>
      <c r="F118" s="211"/>
      <c r="G118" s="212">
        <v>4.0820105820105823</v>
      </c>
      <c r="H118" s="212">
        <v>1.0464827357821702</v>
      </c>
      <c r="I118" s="202">
        <v>6172</v>
      </c>
      <c r="J118" s="202">
        <v>8049.7248677248672</v>
      </c>
      <c r="K118" s="204">
        <v>4.8903154409027996E-3</v>
      </c>
    </row>
    <row r="119" spans="1:11" ht="14.45" customHeight="1" x14ac:dyDescent="0.25">
      <c r="A119" s="205" t="s">
        <v>367</v>
      </c>
      <c r="B119" s="119" t="s">
        <v>162</v>
      </c>
      <c r="C119" s="202">
        <v>9</v>
      </c>
      <c r="D119" s="202">
        <v>6</v>
      </c>
      <c r="E119" s="210">
        <v>0.66666666666666663</v>
      </c>
      <c r="F119" s="211"/>
      <c r="G119" s="212">
        <v>4.75</v>
      </c>
      <c r="H119" s="212">
        <v>0.4330127018922193</v>
      </c>
      <c r="I119" s="202">
        <v>114</v>
      </c>
      <c r="J119" s="202">
        <v>170.60914285714287</v>
      </c>
      <c r="K119" s="204">
        <v>1.0364733445967935E-4</v>
      </c>
    </row>
    <row r="120" spans="1:11" ht="14.45" customHeight="1" x14ac:dyDescent="0.25">
      <c r="A120" s="205" t="s">
        <v>348</v>
      </c>
      <c r="B120" s="119" t="s">
        <v>49</v>
      </c>
      <c r="C120" s="202">
        <v>192</v>
      </c>
      <c r="D120" s="202">
        <v>156</v>
      </c>
      <c r="E120" s="210">
        <v>0.8125</v>
      </c>
      <c r="F120" s="211"/>
      <c r="G120" s="212">
        <v>4.2882165605095546</v>
      </c>
      <c r="H120" s="212">
        <v>1.0772937331556536</v>
      </c>
      <c r="I120" s="202">
        <v>2675.8471337579617</v>
      </c>
      <c r="J120" s="202">
        <v>3293.3503184713381</v>
      </c>
      <c r="K120" s="204">
        <v>2.0007543337657598E-3</v>
      </c>
    </row>
    <row r="121" spans="1:11" ht="14.45" customHeight="1" x14ac:dyDescent="0.25">
      <c r="A121" s="205" t="s">
        <v>269</v>
      </c>
      <c r="B121" s="119" t="s">
        <v>113</v>
      </c>
      <c r="C121" s="202">
        <v>2886</v>
      </c>
      <c r="D121" s="202">
        <v>2472</v>
      </c>
      <c r="E121" s="210">
        <v>0.8565488565488566</v>
      </c>
      <c r="F121" s="211"/>
      <c r="G121" s="212">
        <v>4.3247370550161817</v>
      </c>
      <c r="H121" s="212">
        <v>0.94221545048453581</v>
      </c>
      <c r="I121" s="202">
        <v>42763</v>
      </c>
      <c r="J121" s="202">
        <v>49924.764563106808</v>
      </c>
      <c r="K121" s="204">
        <v>3.032996171152404E-2</v>
      </c>
    </row>
    <row r="122" spans="1:11" ht="14.45" customHeight="1" x14ac:dyDescent="0.25">
      <c r="A122" s="205" t="s">
        <v>333</v>
      </c>
      <c r="B122" s="119" t="s">
        <v>147</v>
      </c>
      <c r="C122" s="202">
        <v>18</v>
      </c>
      <c r="D122" s="202">
        <v>13</v>
      </c>
      <c r="E122" s="210">
        <v>0.72222222222222221</v>
      </c>
      <c r="F122" s="211"/>
      <c r="G122" s="212">
        <v>4.2692307692307692</v>
      </c>
      <c r="H122" s="212">
        <v>1.021224465180905</v>
      </c>
      <c r="I122" s="202">
        <v>222</v>
      </c>
      <c r="J122" s="202">
        <v>307.38461538461536</v>
      </c>
      <c r="K122" s="204">
        <v>1.867402620104967E-4</v>
      </c>
    </row>
    <row r="123" spans="1:11" ht="14.45" customHeight="1" x14ac:dyDescent="0.25">
      <c r="A123" s="205" t="s">
        <v>325</v>
      </c>
      <c r="B123" s="119" t="s">
        <v>525</v>
      </c>
      <c r="C123" s="202">
        <v>30</v>
      </c>
      <c r="D123" s="202">
        <v>26</v>
      </c>
      <c r="E123" s="210">
        <v>0.8666666666666667</v>
      </c>
      <c r="F123" s="211"/>
      <c r="G123" s="212">
        <v>4.375</v>
      </c>
      <c r="H123" s="212">
        <v>0.90072086515361494</v>
      </c>
      <c r="I123" s="202">
        <v>455</v>
      </c>
      <c r="J123" s="202">
        <v>525</v>
      </c>
      <c r="K123" s="204">
        <v>3.1894451657198201E-4</v>
      </c>
    </row>
    <row r="124" spans="1:11" ht="14.45" customHeight="1" x14ac:dyDescent="0.25">
      <c r="A124" s="205" t="s">
        <v>330</v>
      </c>
      <c r="B124" s="119" t="s">
        <v>67</v>
      </c>
      <c r="C124" s="202">
        <v>882</v>
      </c>
      <c r="D124" s="202">
        <v>414</v>
      </c>
      <c r="E124" s="210">
        <v>0.46938775510204084</v>
      </c>
      <c r="F124" s="211"/>
      <c r="G124" s="212">
        <v>4.0923913043478262</v>
      </c>
      <c r="H124" s="212">
        <v>1.050897974208209</v>
      </c>
      <c r="I124" s="202">
        <v>6777</v>
      </c>
      <c r="J124" s="202">
        <v>12869.661306122447</v>
      </c>
      <c r="K124" s="204">
        <v>7.8184912451930797E-3</v>
      </c>
    </row>
    <row r="125" spans="1:11" ht="14.45" customHeight="1" x14ac:dyDescent="0.25">
      <c r="A125" s="205" t="s">
        <v>381</v>
      </c>
      <c r="B125" s="119" t="s">
        <v>23</v>
      </c>
      <c r="C125" s="202">
        <v>1016</v>
      </c>
      <c r="D125" s="202">
        <v>685</v>
      </c>
      <c r="E125" s="210">
        <v>0.67421259842519687</v>
      </c>
      <c r="F125" s="211"/>
      <c r="G125" s="212">
        <v>3.8817518248175182</v>
      </c>
      <c r="H125" s="212">
        <v>1.2459697936668643</v>
      </c>
      <c r="I125" s="202">
        <v>10636</v>
      </c>
      <c r="J125" s="202">
        <v>15753.806312710909</v>
      </c>
      <c r="K125" s="204">
        <v>9.5706478830023239E-3</v>
      </c>
    </row>
    <row r="126" spans="1:11" ht="14.45" customHeight="1" x14ac:dyDescent="0.25">
      <c r="A126" s="205" t="s">
        <v>339</v>
      </c>
      <c r="B126" s="119" t="s">
        <v>57</v>
      </c>
      <c r="C126" s="202">
        <v>1448</v>
      </c>
      <c r="D126" s="202">
        <v>908</v>
      </c>
      <c r="E126" s="210">
        <v>0.6270718232044199</v>
      </c>
      <c r="F126" s="211"/>
      <c r="G126" s="212">
        <v>4.3394823788546253</v>
      </c>
      <c r="H126" s="212">
        <v>0.94804723757177389</v>
      </c>
      <c r="I126" s="202">
        <v>15761</v>
      </c>
      <c r="J126" s="202">
        <v>24860.533114443562</v>
      </c>
      <c r="K126" s="204">
        <v>1.5103106125538958E-2</v>
      </c>
    </row>
    <row r="127" spans="1:11" ht="14.45" customHeight="1" x14ac:dyDescent="0.25">
      <c r="A127" s="205" t="s">
        <v>365</v>
      </c>
      <c r="B127" s="119" t="s">
        <v>34</v>
      </c>
      <c r="C127" s="202">
        <v>1131</v>
      </c>
      <c r="D127" s="202">
        <v>1004</v>
      </c>
      <c r="E127" s="210">
        <v>0.88770999115826699</v>
      </c>
      <c r="F127" s="211"/>
      <c r="G127" s="212">
        <v>4.1187749003984067</v>
      </c>
      <c r="H127" s="212">
        <v>1.0848403471535522</v>
      </c>
      <c r="I127" s="202">
        <v>16541</v>
      </c>
      <c r="J127" s="202">
        <v>18633.337649402391</v>
      </c>
      <c r="K127" s="204">
        <v>1.1320001654687918E-2</v>
      </c>
    </row>
    <row r="128" spans="1:11" ht="14.45" customHeight="1" x14ac:dyDescent="0.25">
      <c r="A128" s="205" t="s">
        <v>309</v>
      </c>
      <c r="B128" s="119" t="s">
        <v>82</v>
      </c>
      <c r="C128" s="202">
        <v>2880</v>
      </c>
      <c r="D128" s="202">
        <v>1694</v>
      </c>
      <c r="E128" s="210">
        <v>0.58819444444444446</v>
      </c>
      <c r="F128" s="211"/>
      <c r="G128" s="212">
        <v>4.1868358913813459</v>
      </c>
      <c r="H128" s="212">
        <v>1.0376235336699051</v>
      </c>
      <c r="I128" s="202">
        <v>28370</v>
      </c>
      <c r="J128" s="202">
        <v>46999.295595238094</v>
      </c>
      <c r="K128" s="204">
        <v>2.8552700214946474E-2</v>
      </c>
    </row>
    <row r="129" spans="1:11" ht="14.45" customHeight="1" x14ac:dyDescent="0.25">
      <c r="A129" s="205" t="s">
        <v>375</v>
      </c>
      <c r="B129" s="119" t="s">
        <v>27</v>
      </c>
      <c r="C129" s="202">
        <v>1568</v>
      </c>
      <c r="D129" s="202">
        <v>660</v>
      </c>
      <c r="E129" s="210">
        <v>0.42091836734693877</v>
      </c>
      <c r="F129" s="211"/>
      <c r="G129" s="212">
        <v>4.2359848484848488</v>
      </c>
      <c r="H129" s="212">
        <v>1.0105469265103522</v>
      </c>
      <c r="I129" s="202">
        <v>11183</v>
      </c>
      <c r="J129" s="202">
        <v>22342.49287755102</v>
      </c>
      <c r="K129" s="204">
        <v>1.357336302827326E-2</v>
      </c>
    </row>
    <row r="130" spans="1:11" ht="14.45" customHeight="1" x14ac:dyDescent="0.25">
      <c r="A130" s="205" t="s">
        <v>360</v>
      </c>
      <c r="B130" s="119" t="s">
        <v>37</v>
      </c>
      <c r="C130" s="202">
        <v>3235</v>
      </c>
      <c r="D130" s="202">
        <v>1584</v>
      </c>
      <c r="E130" s="210">
        <v>0.48964451313755797</v>
      </c>
      <c r="F130" s="211"/>
      <c r="G130" s="212">
        <v>4.0950126262626263</v>
      </c>
      <c r="H130" s="212">
        <v>1.1506477643563893</v>
      </c>
      <c r="I130" s="202">
        <v>25946</v>
      </c>
      <c r="J130" s="202">
        <v>48199.796548465441</v>
      </c>
      <c r="K130" s="204">
        <v>2.9282020588606093E-2</v>
      </c>
    </row>
    <row r="131" spans="1:11" ht="14.45" customHeight="1" x14ac:dyDescent="0.25">
      <c r="A131" s="205" t="s">
        <v>372</v>
      </c>
      <c r="B131" s="119" t="s">
        <v>29</v>
      </c>
      <c r="C131" s="202">
        <v>67</v>
      </c>
      <c r="D131" s="202">
        <v>67</v>
      </c>
      <c r="E131" s="210">
        <v>1</v>
      </c>
      <c r="F131" s="211"/>
      <c r="G131" s="212">
        <v>4.3022388059701493</v>
      </c>
      <c r="H131" s="212">
        <v>0.98972078211675341</v>
      </c>
      <c r="I131" s="202">
        <v>1153</v>
      </c>
      <c r="J131" s="202">
        <v>1153</v>
      </c>
      <c r="K131" s="204">
        <v>7.0046290972856245E-4</v>
      </c>
    </row>
    <row r="132" spans="1:11" ht="14.45" customHeight="1" x14ac:dyDescent="0.25">
      <c r="A132" s="205" t="s">
        <v>303</v>
      </c>
      <c r="B132" s="119" t="s">
        <v>84</v>
      </c>
      <c r="C132" s="202">
        <v>106</v>
      </c>
      <c r="D132" s="202">
        <v>34</v>
      </c>
      <c r="E132" s="210">
        <v>0.32075471698113206</v>
      </c>
      <c r="F132" s="211"/>
      <c r="G132" s="212">
        <v>4.3308823529411766</v>
      </c>
      <c r="H132" s="212">
        <v>0.93976801782974129</v>
      </c>
      <c r="I132" s="202">
        <v>589</v>
      </c>
      <c r="J132" s="202">
        <v>1297.1145336927223</v>
      </c>
      <c r="K132" s="204">
        <v>7.8801441502308043E-4</v>
      </c>
    </row>
    <row r="133" spans="1:11" ht="14.45" customHeight="1" x14ac:dyDescent="0.25">
      <c r="A133" s="205" t="s">
        <v>359</v>
      </c>
      <c r="B133" s="119" t="s">
        <v>38</v>
      </c>
      <c r="C133" s="202">
        <v>300</v>
      </c>
      <c r="D133" s="202">
        <v>196</v>
      </c>
      <c r="E133" s="210">
        <v>0.65333333333333332</v>
      </c>
      <c r="F133" s="211"/>
      <c r="G133" s="212">
        <v>4.3941326530612246</v>
      </c>
      <c r="H133" s="212">
        <v>0.90718012451857166</v>
      </c>
      <c r="I133" s="202">
        <v>3445</v>
      </c>
      <c r="J133" s="202">
        <v>5249.3925714285715</v>
      </c>
      <c r="K133" s="204">
        <v>3.1890761447444559E-3</v>
      </c>
    </row>
    <row r="134" spans="1:11" ht="14.45" customHeight="1" x14ac:dyDescent="0.25">
      <c r="A134" s="205" t="s">
        <v>290</v>
      </c>
      <c r="B134" s="119" t="s">
        <v>94</v>
      </c>
      <c r="C134" s="202">
        <v>788</v>
      </c>
      <c r="D134" s="202">
        <v>726</v>
      </c>
      <c r="E134" s="210">
        <v>0.92131979695431476</v>
      </c>
      <c r="F134" s="211"/>
      <c r="G134" s="212">
        <v>4.4028925619834709</v>
      </c>
      <c r="H134" s="212">
        <v>0.89892338852069242</v>
      </c>
      <c r="I134" s="202">
        <v>12786</v>
      </c>
      <c r="J134" s="202">
        <v>13877.917355371901</v>
      </c>
      <c r="K134" s="204">
        <v>8.4310202703524011E-3</v>
      </c>
    </row>
    <row r="135" spans="1:11" ht="14.45" customHeight="1" x14ac:dyDescent="0.25">
      <c r="A135" s="205" t="s">
        <v>267</v>
      </c>
      <c r="B135" s="119" t="s">
        <v>115</v>
      </c>
      <c r="C135" s="202">
        <v>1158</v>
      </c>
      <c r="D135" s="202">
        <v>481</v>
      </c>
      <c r="E135" s="210">
        <v>0.41537132987910191</v>
      </c>
      <c r="F135" s="211"/>
      <c r="G135" s="212">
        <v>4.0790020790020787</v>
      </c>
      <c r="H135" s="212">
        <v>1.1089298478623819</v>
      </c>
      <c r="I135" s="202">
        <v>7848</v>
      </c>
      <c r="J135" s="202">
        <v>15768.310809770535</v>
      </c>
      <c r="K135" s="204">
        <v>9.5794595588171837E-3</v>
      </c>
    </row>
    <row r="136" spans="1:11" ht="14.45" customHeight="1" x14ac:dyDescent="0.25">
      <c r="A136" s="205" t="s">
        <v>384</v>
      </c>
      <c r="B136" s="119" t="s">
        <v>22</v>
      </c>
      <c r="C136" s="202">
        <v>369</v>
      </c>
      <c r="D136" s="202">
        <v>292</v>
      </c>
      <c r="E136" s="210">
        <v>0.79132791327913277</v>
      </c>
      <c r="F136" s="211"/>
      <c r="G136" s="212">
        <v>4.2449664429530198</v>
      </c>
      <c r="H136" s="212">
        <v>1.021772130890509</v>
      </c>
      <c r="I136" s="202">
        <v>4958.120805369128</v>
      </c>
      <c r="J136" s="202">
        <v>6265.5704697986575</v>
      </c>
      <c r="K136" s="204">
        <v>3.8064177991192745E-3</v>
      </c>
    </row>
    <row r="137" spans="1:11" ht="14.45" customHeight="1" x14ac:dyDescent="0.25">
      <c r="A137" s="205" t="s">
        <v>217</v>
      </c>
      <c r="B137" s="119" t="s">
        <v>199</v>
      </c>
      <c r="C137" s="202">
        <v>2605</v>
      </c>
      <c r="D137" s="202">
        <v>1828</v>
      </c>
      <c r="E137" s="210">
        <v>0.70172744721689062</v>
      </c>
      <c r="F137" s="211"/>
      <c r="G137" s="212">
        <v>4.2256564551422322</v>
      </c>
      <c r="H137" s="212">
        <v>1.0449201680932791</v>
      </c>
      <c r="I137" s="202">
        <v>30898</v>
      </c>
      <c r="J137" s="202">
        <v>44031.34026258206</v>
      </c>
      <c r="K137" s="204">
        <v>2.6749627683934636E-2</v>
      </c>
    </row>
    <row r="138" spans="1:11" ht="14.45" customHeight="1" x14ac:dyDescent="0.25">
      <c r="A138" s="205" t="s">
        <v>446</v>
      </c>
      <c r="B138" s="119" t="s">
        <v>447</v>
      </c>
      <c r="C138" s="202">
        <v>49</v>
      </c>
      <c r="D138" s="202">
        <v>44</v>
      </c>
      <c r="E138" s="210">
        <v>0.89795918367346939</v>
      </c>
      <c r="F138" s="211"/>
      <c r="G138" s="212">
        <v>4.2329545454545459</v>
      </c>
      <c r="H138" s="212">
        <v>1.0041076534675271</v>
      </c>
      <c r="I138" s="202">
        <v>745</v>
      </c>
      <c r="J138" s="202">
        <v>829.65909090909099</v>
      </c>
      <c r="K138" s="204">
        <v>5.040289860372383E-4</v>
      </c>
    </row>
    <row r="139" spans="1:11" ht="14.45" customHeight="1" x14ac:dyDescent="0.25">
      <c r="A139" s="205" t="s">
        <v>444</v>
      </c>
      <c r="B139" s="119" t="s">
        <v>445</v>
      </c>
      <c r="C139" s="202">
        <v>4710</v>
      </c>
      <c r="D139" s="202">
        <v>1070</v>
      </c>
      <c r="E139" s="210">
        <v>0.22717622080679406</v>
      </c>
      <c r="F139" s="211"/>
      <c r="G139" s="212">
        <v>4.2350606909430439</v>
      </c>
      <c r="H139" s="212">
        <v>1.0116379148818075</v>
      </c>
      <c r="I139" s="202">
        <v>18126.059757236228</v>
      </c>
      <c r="J139" s="202">
        <v>43378.05251741461</v>
      </c>
      <c r="K139" s="204">
        <v>2.6352746647620669E-2</v>
      </c>
    </row>
    <row r="140" spans="1:11" x14ac:dyDescent="0.25">
      <c r="A140" s="206" t="s">
        <v>16</v>
      </c>
      <c r="B140" s="206"/>
      <c r="C140" s="207">
        <v>112564</v>
      </c>
      <c r="D140" s="207">
        <v>59710</v>
      </c>
      <c r="E140" s="213">
        <v>0.53045378629046591</v>
      </c>
      <c r="F140" s="214"/>
      <c r="G140" s="215">
        <v>4.2144575623790859</v>
      </c>
      <c r="H140" s="215">
        <v>1.0301463962966773</v>
      </c>
      <c r="I140" s="207">
        <v>1006806.5169528567</v>
      </c>
      <c r="J140" s="207">
        <v>1646054.3220579673</v>
      </c>
      <c r="K140" s="209">
        <v>1</v>
      </c>
    </row>
    <row r="142" spans="1:11" x14ac:dyDescent="0.25">
      <c r="A142" t="s">
        <v>515</v>
      </c>
    </row>
    <row r="143" spans="1:11" x14ac:dyDescent="0.25">
      <c r="A143" s="177" t="s">
        <v>519</v>
      </c>
    </row>
  </sheetData>
  <mergeCells count="1">
    <mergeCell ref="C4:K4"/>
  </mergeCells>
  <hyperlinks>
    <hyperlink ref="A140" r:id="rId1" display="https://vipunen.fi/fi-fi/_layouts/15/xlviewer.aspx?id=/fi-fi/Raportit/Ammatillinen%20koulutus%20-%20opiskelijapalaute%20-%20rahoitusmalli%20-%20aloituskysely.xlsb"/>
    <hyperlink ref="A143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12</vt:i4>
      </vt:variant>
      <vt:variant>
        <vt:lpstr>Nimetyt alueet</vt:lpstr>
      </vt:variant>
      <vt:variant>
        <vt:i4>2</vt:i4>
      </vt:variant>
    </vt:vector>
  </HeadingPairs>
  <TitlesOfParts>
    <vt:vector size="14" baseType="lpstr">
      <vt:lpstr>OHJEET</vt:lpstr>
      <vt:lpstr>1.1 Jakotaulu</vt:lpstr>
      <vt:lpstr>1.2 Ohjaus-laskentataulu</vt:lpstr>
      <vt:lpstr>1.3 Vertailulukuja</vt:lpstr>
      <vt:lpstr>1.4 Maakuntalukuja</vt:lpstr>
      <vt:lpstr>2.1 Toteut. op.vuodet</vt:lpstr>
      <vt:lpstr>2.2 Tutk. ja osien pain. pist.</vt:lpstr>
      <vt:lpstr>2.3 Työll. ja jatko-opisk.</vt:lpstr>
      <vt:lpstr>2.4 Aloittaneet palaute</vt:lpstr>
      <vt:lpstr>2.5 Päättäneet palaute</vt:lpstr>
      <vt:lpstr>Suoritepäätös 2019</vt:lpstr>
      <vt:lpstr>Suoritepäätös 2020</vt:lpstr>
      <vt:lpstr>'Suoritepäätös 2020'!Tulostusalue</vt:lpstr>
      <vt:lpstr>'Suoritepäätös 2020'!Tulostusotsikot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johannes.peltola@minedu.fi</dc:creator>
  <cp:lastModifiedBy>Leskinen Helena (OKM)</cp:lastModifiedBy>
  <cp:lastPrinted>2020-12-10T15:12:26Z</cp:lastPrinted>
  <dcterms:created xsi:type="dcterms:W3CDTF">2019-05-14T05:56:15Z</dcterms:created>
  <dcterms:modified xsi:type="dcterms:W3CDTF">2021-01-21T07:18:31Z</dcterms:modified>
</cp:coreProperties>
</file>